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S:\Team_Beratung\02_Studiengaenge\BScMSc_Bio.MBt\!Studienpläne_MBtMSc\2020W-ff\Vorlage Studienplan_MBt\"/>
    </mc:Choice>
  </mc:AlternateContent>
  <bookViews>
    <workbookView xWindow="0" yWindow="0" windowWidth="28800" windowHeight="11860"/>
  </bookViews>
  <sheets>
    <sheet name="Ihr Studienplan" sheetId="1" r:id="rId1"/>
    <sheet name="Tabelle2" sheetId="6" state="hidden" r:id="rId2"/>
    <sheet name="Tabelle1" sheetId="5" state="hidden" r:id="rId3"/>
    <sheet name="HandsOff_Basisdata" sheetId="2" state="hidden" r:id="rId4"/>
    <sheet name="HandsOff_Notenschnitt" sheetId="4" state="hidden" r:id="rId5"/>
  </sheets>
  <externalReferences>
    <externalReference r:id="rId6"/>
    <externalReference r:id="rId7"/>
  </externalReferences>
  <definedNames>
    <definedName name="_xlnm.Print_Area" localSheetId="0">'Ihr Studienplan'!$A$1:$AA$72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4" i="2" l="1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33" i="2"/>
  <c r="S133" i="2"/>
  <c r="A86" i="2"/>
  <c r="A85" i="2"/>
  <c r="A84" i="2"/>
  <c r="C11" i="1"/>
  <c r="AB30" i="4"/>
  <c r="AA31" i="4"/>
  <c r="AA30" i="4"/>
  <c r="Z31" i="4"/>
  <c r="AB31" i="4"/>
  <c r="Z30" i="4"/>
  <c r="Q43" i="1"/>
  <c r="R43" i="1"/>
  <c r="T43" i="1"/>
  <c r="S43" i="1"/>
  <c r="E43" i="1"/>
  <c r="F43" i="1"/>
  <c r="G43" i="1"/>
  <c r="H43" i="1"/>
  <c r="AA36" i="1"/>
  <c r="H36" i="1"/>
  <c r="T36" i="1"/>
  <c r="N36" i="1"/>
  <c r="U27" i="4"/>
  <c r="T27" i="4"/>
  <c r="V27" i="4"/>
  <c r="U26" i="4"/>
  <c r="T26" i="4"/>
  <c r="W26" i="4"/>
  <c r="U25" i="4"/>
  <c r="T25" i="4"/>
  <c r="V25" i="4"/>
  <c r="U24" i="4"/>
  <c r="T24" i="4"/>
  <c r="W24" i="4"/>
  <c r="W23" i="4"/>
  <c r="U23" i="4"/>
  <c r="T23" i="4"/>
  <c r="V23" i="4"/>
  <c r="U22" i="4"/>
  <c r="T22" i="4"/>
  <c r="W22" i="4"/>
  <c r="U21" i="4"/>
  <c r="T21" i="4"/>
  <c r="V21" i="4"/>
  <c r="U20" i="4"/>
  <c r="T20" i="4"/>
  <c r="U19" i="4"/>
  <c r="T19" i="4"/>
  <c r="V19" i="4"/>
  <c r="U18" i="4"/>
  <c r="T18" i="4"/>
  <c r="W18" i="4"/>
  <c r="U17" i="4"/>
  <c r="T17" i="4"/>
  <c r="V17" i="4"/>
  <c r="U16" i="4"/>
  <c r="T16" i="4"/>
  <c r="W16" i="4"/>
  <c r="U15" i="4"/>
  <c r="T15" i="4"/>
  <c r="V15" i="4"/>
  <c r="U14" i="4"/>
  <c r="T14" i="4"/>
  <c r="W14" i="4"/>
  <c r="U13" i="4"/>
  <c r="T13" i="4"/>
  <c r="V13" i="4"/>
  <c r="U12" i="4"/>
  <c r="T12" i="4"/>
  <c r="W12" i="4"/>
  <c r="U11" i="4"/>
  <c r="T11" i="4"/>
  <c r="V11" i="4"/>
  <c r="U10" i="4"/>
  <c r="T10" i="4"/>
  <c r="W10" i="4"/>
  <c r="U9" i="4"/>
  <c r="T9" i="4"/>
  <c r="V9" i="4"/>
  <c r="U8" i="4"/>
  <c r="T8" i="4"/>
  <c r="W8" i="4"/>
  <c r="U7" i="4"/>
  <c r="T7" i="4"/>
  <c r="V7" i="4"/>
  <c r="U6" i="4"/>
  <c r="T6" i="4"/>
  <c r="W6" i="4"/>
  <c r="U5" i="4"/>
  <c r="T5" i="4"/>
  <c r="V5" i="4"/>
  <c r="U4" i="4"/>
  <c r="T4" i="4"/>
  <c r="M51" i="1"/>
  <c r="G51" i="1"/>
  <c r="Z9" i="1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N27" i="4"/>
  <c r="M27" i="4"/>
  <c r="P27" i="4"/>
  <c r="N26" i="4"/>
  <c r="M26" i="4"/>
  <c r="P26" i="4"/>
  <c r="N25" i="4"/>
  <c r="M25" i="4"/>
  <c r="P25" i="4"/>
  <c r="N24" i="4"/>
  <c r="M24" i="4"/>
  <c r="N23" i="4"/>
  <c r="M23" i="4"/>
  <c r="P23" i="4"/>
  <c r="N22" i="4"/>
  <c r="M22" i="4"/>
  <c r="P22" i="4"/>
  <c r="N21" i="4"/>
  <c r="M21" i="4"/>
  <c r="P21" i="4"/>
  <c r="N20" i="4"/>
  <c r="M20" i="4"/>
  <c r="P20" i="4"/>
  <c r="N19" i="4"/>
  <c r="M19" i="4"/>
  <c r="N18" i="4"/>
  <c r="M18" i="4"/>
  <c r="P18" i="4"/>
  <c r="N17" i="4"/>
  <c r="M17" i="4"/>
  <c r="P17" i="4"/>
  <c r="N16" i="4"/>
  <c r="M16" i="4"/>
  <c r="P16" i="4"/>
  <c r="O15" i="4"/>
  <c r="N15" i="4"/>
  <c r="M15" i="4"/>
  <c r="P15" i="4"/>
  <c r="N14" i="4"/>
  <c r="M14" i="4"/>
  <c r="O13" i="4"/>
  <c r="N13" i="4"/>
  <c r="M13" i="4"/>
  <c r="P13" i="4"/>
  <c r="N12" i="4"/>
  <c r="M12" i="4"/>
  <c r="P12" i="4"/>
  <c r="N11" i="4"/>
  <c r="M11" i="4"/>
  <c r="P11" i="4"/>
  <c r="N10" i="4"/>
  <c r="M10" i="4"/>
  <c r="P10" i="4"/>
  <c r="N9" i="4"/>
  <c r="M9" i="4"/>
  <c r="P9" i="4"/>
  <c r="N8" i="4"/>
  <c r="M8" i="4"/>
  <c r="P8" i="4"/>
  <c r="O7" i="4"/>
  <c r="N7" i="4"/>
  <c r="M7" i="4"/>
  <c r="P7" i="4"/>
  <c r="N6" i="4"/>
  <c r="M6" i="4"/>
  <c r="P6" i="4"/>
  <c r="N5" i="4"/>
  <c r="M5" i="4"/>
  <c r="P5" i="4"/>
  <c r="N4" i="4"/>
  <c r="M4" i="4"/>
  <c r="P4" i="4"/>
  <c r="H27" i="4"/>
  <c r="G27" i="4"/>
  <c r="J27" i="4"/>
  <c r="H26" i="4"/>
  <c r="G26" i="4"/>
  <c r="J26" i="4"/>
  <c r="I25" i="4"/>
  <c r="H25" i="4"/>
  <c r="G25" i="4"/>
  <c r="J25" i="4"/>
  <c r="H24" i="4"/>
  <c r="G24" i="4"/>
  <c r="I23" i="4"/>
  <c r="H23" i="4"/>
  <c r="G23" i="4"/>
  <c r="J23" i="4"/>
  <c r="H22" i="4"/>
  <c r="G22" i="4"/>
  <c r="J22" i="4"/>
  <c r="H21" i="4"/>
  <c r="G21" i="4"/>
  <c r="J21" i="4"/>
  <c r="H20" i="4"/>
  <c r="G20" i="4"/>
  <c r="H19" i="4"/>
  <c r="G19" i="4"/>
  <c r="I19" i="4"/>
  <c r="H18" i="4"/>
  <c r="G18" i="4"/>
  <c r="J18" i="4"/>
  <c r="H17" i="4"/>
  <c r="G17" i="4"/>
  <c r="J17" i="4"/>
  <c r="H16" i="4"/>
  <c r="G16" i="4"/>
  <c r="J16" i="4"/>
  <c r="H15" i="4"/>
  <c r="G15" i="4"/>
  <c r="H14" i="4"/>
  <c r="G14" i="4"/>
  <c r="H13" i="4"/>
  <c r="G13" i="4"/>
  <c r="J13" i="4"/>
  <c r="H12" i="4"/>
  <c r="G12" i="4"/>
  <c r="J12" i="4"/>
  <c r="J11" i="4"/>
  <c r="H11" i="4"/>
  <c r="G11" i="4"/>
  <c r="I11" i="4"/>
  <c r="H10" i="4"/>
  <c r="G10" i="4"/>
  <c r="J10" i="4"/>
  <c r="I9" i="4"/>
  <c r="H9" i="4"/>
  <c r="G9" i="4"/>
  <c r="J9" i="4"/>
  <c r="H8" i="4"/>
  <c r="G8" i="4"/>
  <c r="J8" i="4"/>
  <c r="H7" i="4"/>
  <c r="G7" i="4"/>
  <c r="I7" i="4"/>
  <c r="H6" i="4"/>
  <c r="G6" i="4"/>
  <c r="J6" i="4"/>
  <c r="H5" i="4"/>
  <c r="G5" i="4"/>
  <c r="H4" i="4"/>
  <c r="G4" i="4"/>
  <c r="J4" i="4"/>
  <c r="C27" i="4"/>
  <c r="B27" i="4"/>
  <c r="A27" i="4"/>
  <c r="D27" i="4"/>
  <c r="B26" i="4"/>
  <c r="A26" i="4"/>
  <c r="D26" i="4"/>
  <c r="B25" i="4"/>
  <c r="A25" i="4"/>
  <c r="D25" i="4"/>
  <c r="B24" i="4"/>
  <c r="A24" i="4"/>
  <c r="D24" i="4"/>
  <c r="B23" i="4"/>
  <c r="A23" i="4"/>
  <c r="D23" i="4"/>
  <c r="B22" i="4"/>
  <c r="A22" i="4"/>
  <c r="D22" i="4"/>
  <c r="B21" i="4"/>
  <c r="A21" i="4"/>
  <c r="D21" i="4"/>
  <c r="B20" i="4"/>
  <c r="A20" i="4"/>
  <c r="D20" i="4"/>
  <c r="B19" i="4"/>
  <c r="A19" i="4"/>
  <c r="B18" i="4"/>
  <c r="A18" i="4"/>
  <c r="D18" i="4"/>
  <c r="B17" i="4"/>
  <c r="A17" i="4"/>
  <c r="D17" i="4"/>
  <c r="B16" i="4"/>
  <c r="A16" i="4"/>
  <c r="D16" i="4"/>
  <c r="C15" i="4"/>
  <c r="B15" i="4"/>
  <c r="A15" i="4"/>
  <c r="D15" i="4"/>
  <c r="B14" i="4"/>
  <c r="A14" i="4"/>
  <c r="D14" i="4"/>
  <c r="B13" i="4"/>
  <c r="A13" i="4"/>
  <c r="D13" i="4"/>
  <c r="B12" i="4"/>
  <c r="A12" i="4"/>
  <c r="D12" i="4"/>
  <c r="B11" i="4"/>
  <c r="A11" i="4"/>
  <c r="D11" i="4"/>
  <c r="B10" i="4"/>
  <c r="A10" i="4"/>
  <c r="D10" i="4"/>
  <c r="B9" i="4"/>
  <c r="A9" i="4"/>
  <c r="B8" i="4"/>
  <c r="A8" i="4"/>
  <c r="D8" i="4"/>
  <c r="C7" i="4"/>
  <c r="B7" i="4"/>
  <c r="A7" i="4"/>
  <c r="D7" i="4"/>
  <c r="B6" i="4"/>
  <c r="A6" i="4"/>
  <c r="D6" i="4"/>
  <c r="B5" i="4"/>
  <c r="A5" i="4"/>
  <c r="C5" i="4"/>
  <c r="B4" i="4"/>
  <c r="A4" i="4"/>
  <c r="D4" i="4"/>
  <c r="C12" i="1"/>
  <c r="AA9" i="1"/>
  <c r="N51" i="1"/>
  <c r="H51" i="1"/>
  <c r="T9" i="1"/>
  <c r="N9" i="1"/>
  <c r="W4" i="4"/>
  <c r="J20" i="4"/>
  <c r="J5" i="4"/>
  <c r="D19" i="4"/>
  <c r="W20" i="4"/>
  <c r="U39" i="4"/>
  <c r="P24" i="4"/>
  <c r="AC31" i="4"/>
  <c r="AA39" i="4"/>
  <c r="AC30" i="4"/>
  <c r="N39" i="4"/>
  <c r="J15" i="4"/>
  <c r="H39" i="4"/>
  <c r="D9" i="4"/>
  <c r="W7" i="4"/>
  <c r="W21" i="4"/>
  <c r="J19" i="4"/>
  <c r="O23" i="4"/>
  <c r="W11" i="4"/>
  <c r="C23" i="4"/>
  <c r="I17" i="4"/>
  <c r="J24" i="4"/>
  <c r="O27" i="4"/>
  <c r="W5" i="4"/>
  <c r="W19" i="4"/>
  <c r="C21" i="4"/>
  <c r="O17" i="4"/>
  <c r="C11" i="4"/>
  <c r="I15" i="4"/>
  <c r="O25" i="4"/>
  <c r="W17" i="4"/>
  <c r="W27" i="4"/>
  <c r="C19" i="4"/>
  <c r="J7" i="4"/>
  <c r="O11" i="4"/>
  <c r="O21" i="4"/>
  <c r="W15" i="4"/>
  <c r="C9" i="4"/>
  <c r="I13" i="4"/>
  <c r="I21" i="4"/>
  <c r="W9" i="4"/>
  <c r="W25" i="4"/>
  <c r="C25" i="4"/>
  <c r="I5" i="4"/>
  <c r="O5" i="4"/>
  <c r="P19" i="4"/>
  <c r="C13" i="4"/>
  <c r="D5" i="4"/>
  <c r="C17" i="4"/>
  <c r="J14" i="4"/>
  <c r="I27" i="4"/>
  <c r="O9" i="4"/>
  <c r="W13" i="4"/>
  <c r="V4" i="4"/>
  <c r="V6" i="4"/>
  <c r="V8" i="4"/>
  <c r="V10" i="4"/>
  <c r="V12" i="4"/>
  <c r="V14" i="4"/>
  <c r="V16" i="4"/>
  <c r="V18" i="4"/>
  <c r="V20" i="4"/>
  <c r="V22" i="4"/>
  <c r="V24" i="4"/>
  <c r="V26" i="4"/>
  <c r="O19" i="4"/>
  <c r="P14" i="4"/>
  <c r="O4" i="4"/>
  <c r="O6" i="4"/>
  <c r="O8" i="4"/>
  <c r="O10" i="4"/>
  <c r="O12" i="4"/>
  <c r="O14" i="4"/>
  <c r="O16" i="4"/>
  <c r="O18" i="4"/>
  <c r="O20" i="4"/>
  <c r="O22" i="4"/>
  <c r="O24" i="4"/>
  <c r="O26" i="4"/>
  <c r="I4" i="4"/>
  <c r="I6" i="4"/>
  <c r="I8" i="4"/>
  <c r="I10" i="4"/>
  <c r="I12" i="4"/>
  <c r="I14" i="4"/>
  <c r="I16" i="4"/>
  <c r="I18" i="4"/>
  <c r="I20" i="4"/>
  <c r="I22" i="4"/>
  <c r="I24" i="4"/>
  <c r="I26" i="4"/>
  <c r="C4" i="4"/>
  <c r="C6" i="4"/>
  <c r="C8" i="4"/>
  <c r="C10" i="4"/>
  <c r="C12" i="4"/>
  <c r="C14" i="4"/>
  <c r="C16" i="4"/>
  <c r="C18" i="4"/>
  <c r="C20" i="4"/>
  <c r="C22" i="4"/>
  <c r="C24" i="4"/>
  <c r="C26" i="4"/>
  <c r="AD9" i="2"/>
  <c r="V39" i="4"/>
  <c r="V40" i="4"/>
  <c r="Z36" i="1"/>
  <c r="J39" i="4"/>
  <c r="W39" i="4"/>
  <c r="AC39" i="4"/>
  <c r="AB39" i="4"/>
  <c r="AB40" i="4"/>
  <c r="O39" i="4"/>
  <c r="O40" i="4"/>
  <c r="S36" i="1"/>
  <c r="P39" i="4"/>
  <c r="I39" i="4"/>
  <c r="I40" i="4"/>
  <c r="M36" i="1"/>
  <c r="V35" i="1"/>
  <c r="C35" i="1"/>
  <c r="J36" i="1"/>
  <c r="P36" i="1"/>
  <c r="P8" i="1"/>
  <c r="P35" i="1"/>
  <c r="J8" i="1"/>
  <c r="J35" i="1"/>
  <c r="P72" i="1"/>
  <c r="S9" i="1"/>
  <c r="M9" i="1"/>
  <c r="O89" i="2"/>
  <c r="O88" i="2"/>
  <c r="X71" i="1"/>
  <c r="U30" i="1"/>
  <c r="U25" i="1"/>
  <c r="U20" i="1"/>
  <c r="U15" i="1"/>
  <c r="U10" i="1"/>
  <c r="Q144" i="2"/>
  <c r="P144" i="2"/>
  <c r="O144" i="2"/>
  <c r="G144" i="2"/>
  <c r="I144" i="2"/>
  <c r="N144" i="2"/>
  <c r="Q143" i="2"/>
  <c r="P143" i="2"/>
  <c r="O143" i="2"/>
  <c r="G143" i="2"/>
  <c r="H143" i="2"/>
  <c r="M143" i="2"/>
  <c r="Q142" i="2"/>
  <c r="P142" i="2"/>
  <c r="O142" i="2"/>
  <c r="G142" i="2"/>
  <c r="K142" i="2"/>
  <c r="Q141" i="2"/>
  <c r="P141" i="2"/>
  <c r="O141" i="2"/>
  <c r="G141" i="2"/>
  <c r="H141" i="2"/>
  <c r="M141" i="2"/>
  <c r="Q140" i="2"/>
  <c r="P140" i="2"/>
  <c r="O140" i="2"/>
  <c r="C140" i="2"/>
  <c r="B140" i="2"/>
  <c r="Q139" i="2"/>
  <c r="P139" i="2"/>
  <c r="G139" i="2"/>
  <c r="K139" i="2"/>
  <c r="G135" i="2"/>
  <c r="I135" i="2"/>
  <c r="N135" i="2"/>
  <c r="P135" i="2"/>
  <c r="Q135" i="2"/>
  <c r="Q136" i="2"/>
  <c r="P136" i="2"/>
  <c r="G136" i="2"/>
  <c r="J136" i="2"/>
  <c r="O136" i="2"/>
  <c r="Q160" i="2"/>
  <c r="P160" i="2"/>
  <c r="O160" i="2"/>
  <c r="G160" i="2"/>
  <c r="J160" i="2"/>
  <c r="G146" i="2"/>
  <c r="G147" i="2"/>
  <c r="G148" i="2"/>
  <c r="G149" i="2"/>
  <c r="G150" i="2"/>
  <c r="G151" i="2"/>
  <c r="G152" i="2"/>
  <c r="G153" i="2"/>
  <c r="G155" i="2"/>
  <c r="G156" i="2"/>
  <c r="G157" i="2"/>
  <c r="G158" i="2"/>
  <c r="G159" i="2"/>
  <c r="G161" i="2"/>
  <c r="G162" i="2"/>
  <c r="G163" i="2"/>
  <c r="G164" i="2"/>
  <c r="G165" i="2"/>
  <c r="G166" i="2"/>
  <c r="G137" i="2"/>
  <c r="L137" i="2"/>
  <c r="G138" i="2"/>
  <c r="J138" i="2"/>
  <c r="O138" i="2"/>
  <c r="G134" i="2"/>
  <c r="Q138" i="2"/>
  <c r="P138" i="2"/>
  <c r="Q137" i="2"/>
  <c r="P137" i="2"/>
  <c r="P134" i="2"/>
  <c r="O155" i="2"/>
  <c r="P155" i="2"/>
  <c r="Q155" i="2"/>
  <c r="O156" i="2"/>
  <c r="P156" i="2"/>
  <c r="Q156" i="2"/>
  <c r="O157" i="2"/>
  <c r="P157" i="2"/>
  <c r="Q157" i="2"/>
  <c r="O158" i="2"/>
  <c r="P158" i="2"/>
  <c r="Q158" i="2"/>
  <c r="O159" i="2"/>
  <c r="P159" i="2"/>
  <c r="Q159" i="2"/>
  <c r="O161" i="2"/>
  <c r="P161" i="2"/>
  <c r="Q161" i="2"/>
  <c r="O162" i="2"/>
  <c r="P162" i="2"/>
  <c r="Q162" i="2"/>
  <c r="M163" i="2"/>
  <c r="P163" i="2"/>
  <c r="Q163" i="2"/>
  <c r="M164" i="2"/>
  <c r="N164" i="2"/>
  <c r="O164" i="2"/>
  <c r="P164" i="2"/>
  <c r="Q164" i="2"/>
  <c r="M165" i="2"/>
  <c r="N165" i="2"/>
  <c r="O165" i="2"/>
  <c r="P165" i="2"/>
  <c r="Q165" i="2"/>
  <c r="M166" i="2"/>
  <c r="N166" i="2"/>
  <c r="O166" i="2"/>
  <c r="P166" i="2"/>
  <c r="Q166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O154" i="2"/>
  <c r="P154" i="2"/>
  <c r="Q154" i="2"/>
  <c r="H135" i="2"/>
  <c r="M135" i="2"/>
  <c r="J144" i="2"/>
  <c r="K144" i="2"/>
  <c r="L144" i="2"/>
  <c r="H144" i="2"/>
  <c r="M144" i="2"/>
  <c r="T144" i="2"/>
  <c r="L142" i="2"/>
  <c r="J142" i="2"/>
  <c r="H142" i="2"/>
  <c r="M142" i="2"/>
  <c r="J141" i="2"/>
  <c r="I141" i="2"/>
  <c r="N141" i="2"/>
  <c r="T141" i="2"/>
  <c r="G140" i="2"/>
  <c r="K141" i="2"/>
  <c r="I143" i="2"/>
  <c r="N143" i="2"/>
  <c r="T143" i="2"/>
  <c r="L141" i="2"/>
  <c r="J143" i="2"/>
  <c r="K143" i="2"/>
  <c r="I142" i="2"/>
  <c r="N142" i="2"/>
  <c r="L143" i="2"/>
  <c r="L139" i="2"/>
  <c r="H139" i="2"/>
  <c r="M139" i="2"/>
  <c r="I139" i="2"/>
  <c r="N139" i="2"/>
  <c r="J139" i="2"/>
  <c r="O139" i="2"/>
  <c r="L135" i="2"/>
  <c r="K135" i="2"/>
  <c r="J135" i="2"/>
  <c r="O135" i="2"/>
  <c r="T135" i="2"/>
  <c r="K136" i="2"/>
  <c r="L136" i="2"/>
  <c r="H136" i="2"/>
  <c r="M136" i="2"/>
  <c r="I136" i="2"/>
  <c r="N136" i="2"/>
  <c r="K160" i="2"/>
  <c r="L160" i="2"/>
  <c r="H160" i="2"/>
  <c r="M160" i="2"/>
  <c r="I160" i="2"/>
  <c r="N160" i="2"/>
  <c r="K138" i="2"/>
  <c r="H134" i="2"/>
  <c r="H137" i="2"/>
  <c r="M137" i="2"/>
  <c r="I137" i="2"/>
  <c r="N137" i="2"/>
  <c r="L138" i="2"/>
  <c r="J137" i="2"/>
  <c r="O137" i="2"/>
  <c r="M134" i="2"/>
  <c r="K137" i="2"/>
  <c r="H138" i="2"/>
  <c r="M138" i="2"/>
  <c r="I138" i="2"/>
  <c r="N138" i="2"/>
  <c r="K9" i="1"/>
  <c r="Q9" i="1"/>
  <c r="T142" i="2"/>
  <c r="L140" i="2"/>
  <c r="K140" i="2"/>
  <c r="J140" i="2"/>
  <c r="H140" i="2"/>
  <c r="M140" i="2"/>
  <c r="I140" i="2"/>
  <c r="N140" i="2"/>
  <c r="T139" i="2"/>
  <c r="T136" i="2"/>
  <c r="T160" i="2"/>
  <c r="L134" i="2"/>
  <c r="Q134" i="2"/>
  <c r="K134" i="2"/>
  <c r="I134" i="2"/>
  <c r="N134" i="2"/>
  <c r="T137" i="2"/>
  <c r="T138" i="2"/>
  <c r="J134" i="2"/>
  <c r="O134" i="2"/>
  <c r="AA37" i="1"/>
  <c r="T140" i="2"/>
  <c r="T134" i="2"/>
  <c r="J153" i="2"/>
  <c r="O153" i="2"/>
  <c r="J152" i="2"/>
  <c r="O152" i="2"/>
  <c r="H151" i="2"/>
  <c r="M151" i="2"/>
  <c r="H150" i="2"/>
  <c r="M150" i="2"/>
  <c r="L155" i="2"/>
  <c r="H157" i="2"/>
  <c r="M157" i="2"/>
  <c r="J157" i="2"/>
  <c r="J159" i="2"/>
  <c r="L159" i="2"/>
  <c r="K164" i="2"/>
  <c r="T164" i="2"/>
  <c r="H165" i="2"/>
  <c r="L165" i="2"/>
  <c r="T165" i="2"/>
  <c r="H166" i="2"/>
  <c r="J166" i="2"/>
  <c r="T166" i="2"/>
  <c r="C154" i="2"/>
  <c r="B154" i="2"/>
  <c r="D145" i="2"/>
  <c r="C145" i="2"/>
  <c r="B145" i="2"/>
  <c r="E47" i="2"/>
  <c r="B133" i="2"/>
  <c r="F47" i="2"/>
  <c r="C133" i="2"/>
  <c r="G47" i="2"/>
  <c r="D133" i="2"/>
  <c r="H47" i="2"/>
  <c r="E133" i="2"/>
  <c r="I47" i="2"/>
  <c r="F133" i="2"/>
  <c r="K166" i="2"/>
  <c r="I165" i="2"/>
  <c r="H164" i="2"/>
  <c r="H163" i="2"/>
  <c r="K162" i="2"/>
  <c r="K161" i="2"/>
  <c r="H159" i="2"/>
  <c r="M159" i="2"/>
  <c r="L158" i="2"/>
  <c r="K157" i="2"/>
  <c r="H156" i="2"/>
  <c r="H155" i="2"/>
  <c r="M155" i="2"/>
  <c r="L148" i="2"/>
  <c r="H147" i="2"/>
  <c r="M147" i="2"/>
  <c r="G145" i="2"/>
  <c r="I145" i="2"/>
  <c r="N145" i="2"/>
  <c r="G154" i="2"/>
  <c r="M156" i="2"/>
  <c r="K158" i="2"/>
  <c r="I166" i="2"/>
  <c r="J158" i="2"/>
  <c r="I157" i="2"/>
  <c r="N157" i="2"/>
  <c r="T157" i="2"/>
  <c r="L164" i="2"/>
  <c r="K159" i="2"/>
  <c r="H158" i="2"/>
  <c r="L156" i="2"/>
  <c r="K155" i="2"/>
  <c r="K156" i="2"/>
  <c r="J155" i="2"/>
  <c r="I158" i="2"/>
  <c r="N158" i="2"/>
  <c r="K165" i="2"/>
  <c r="J164" i="2"/>
  <c r="I159" i="2"/>
  <c r="N159" i="2"/>
  <c r="T159" i="2"/>
  <c r="J156" i="2"/>
  <c r="I155" i="2"/>
  <c r="N155" i="2"/>
  <c r="T155" i="2"/>
  <c r="L166" i="2"/>
  <c r="J165" i="2"/>
  <c r="I164" i="2"/>
  <c r="L157" i="2"/>
  <c r="I156" i="2"/>
  <c r="N156" i="2"/>
  <c r="L163" i="2"/>
  <c r="K163" i="2"/>
  <c r="J163" i="2"/>
  <c r="O163" i="2"/>
  <c r="I163" i="2"/>
  <c r="N163" i="2"/>
  <c r="J162" i="2"/>
  <c r="I162" i="2"/>
  <c r="N162" i="2"/>
  <c r="H162" i="2"/>
  <c r="M162" i="2"/>
  <c r="L162" i="2"/>
  <c r="I153" i="2"/>
  <c r="N153" i="2"/>
  <c r="K153" i="2"/>
  <c r="K152" i="2"/>
  <c r="L152" i="2"/>
  <c r="H152" i="2"/>
  <c r="M152" i="2"/>
  <c r="I152" i="2"/>
  <c r="N152" i="2"/>
  <c r="L153" i="2"/>
  <c r="H153" i="2"/>
  <c r="M153" i="2"/>
  <c r="K151" i="2"/>
  <c r="J151" i="2"/>
  <c r="O151" i="2"/>
  <c r="L151" i="2"/>
  <c r="I151" i="2"/>
  <c r="L150" i="2"/>
  <c r="K150" i="2"/>
  <c r="J150" i="2"/>
  <c r="O150" i="2"/>
  <c r="I150" i="2"/>
  <c r="J161" i="2"/>
  <c r="I161" i="2"/>
  <c r="N161" i="2"/>
  <c r="H161" i="2"/>
  <c r="M161" i="2"/>
  <c r="L161" i="2"/>
  <c r="K148" i="2"/>
  <c r="J148" i="2"/>
  <c r="O148" i="2"/>
  <c r="H148" i="2"/>
  <c r="M148" i="2"/>
  <c r="I148" i="2"/>
  <c r="N148" i="2"/>
  <c r="L147" i="2"/>
  <c r="K147" i="2"/>
  <c r="J147" i="2"/>
  <c r="O147" i="2"/>
  <c r="I147" i="2"/>
  <c r="N147" i="2"/>
  <c r="G133" i="2"/>
  <c r="I133" i="2"/>
  <c r="N133" i="2"/>
  <c r="D33" i="1"/>
  <c r="D28" i="1"/>
  <c r="D23" i="1"/>
  <c r="D18" i="1"/>
  <c r="D13" i="1"/>
  <c r="O15" i="1"/>
  <c r="O20" i="1"/>
  <c r="O25" i="1"/>
  <c r="C120" i="2"/>
  <c r="D120" i="2"/>
  <c r="C121" i="2"/>
  <c r="D121" i="2"/>
  <c r="C122" i="2"/>
  <c r="D122" i="2"/>
  <c r="C123" i="2"/>
  <c r="D123" i="2"/>
  <c r="E123" i="2" s="1"/>
  <c r="C124" i="2"/>
  <c r="D124" i="2"/>
  <c r="T156" i="2"/>
  <c r="T147" i="2"/>
  <c r="N151" i="2"/>
  <c r="T151" i="2"/>
  <c r="M158" i="2"/>
  <c r="T158" i="2"/>
  <c r="T148" i="2"/>
  <c r="N150" i="2"/>
  <c r="T150" i="2"/>
  <c r="L154" i="2"/>
  <c r="H154" i="2"/>
  <c r="I154" i="2"/>
  <c r="N154" i="2"/>
  <c r="J154" i="2"/>
  <c r="K154" i="2"/>
  <c r="T163" i="2"/>
  <c r="T162" i="2"/>
  <c r="T153" i="2"/>
  <c r="T152" i="2"/>
  <c r="T161" i="2"/>
  <c r="H149" i="2"/>
  <c r="M149" i="2"/>
  <c r="L149" i="2"/>
  <c r="I149" i="2"/>
  <c r="N149" i="2"/>
  <c r="J149" i="2"/>
  <c r="O149" i="2"/>
  <c r="K149" i="2"/>
  <c r="K146" i="2"/>
  <c r="L146" i="2"/>
  <c r="H146" i="2"/>
  <c r="M146" i="2"/>
  <c r="J146" i="2"/>
  <c r="O146" i="2"/>
  <c r="I146" i="2"/>
  <c r="N146" i="2"/>
  <c r="J145" i="2"/>
  <c r="O145" i="2"/>
  <c r="K145" i="2"/>
  <c r="L145" i="2"/>
  <c r="H145" i="2"/>
  <c r="M145" i="2"/>
  <c r="H133" i="2"/>
  <c r="M133" i="2"/>
  <c r="K133" i="2"/>
  <c r="P133" i="2"/>
  <c r="L133" i="2"/>
  <c r="Q133" i="2"/>
  <c r="J133" i="2"/>
  <c r="O133" i="2"/>
  <c r="E120" i="2"/>
  <c r="E121" i="2"/>
  <c r="B99" i="2"/>
  <c r="C99" i="2"/>
  <c r="B100" i="2"/>
  <c r="C100" i="2"/>
  <c r="B101" i="2"/>
  <c r="C101" i="2"/>
  <c r="B102" i="2"/>
  <c r="C102" i="2"/>
  <c r="D102" i="2" s="1"/>
  <c r="B103" i="2"/>
  <c r="B98" i="2" s="1"/>
  <c r="C103" i="2"/>
  <c r="A76" i="2"/>
  <c r="A77" i="2"/>
  <c r="A78" i="2"/>
  <c r="A79" i="2"/>
  <c r="A80" i="2"/>
  <c r="A81" i="2"/>
  <c r="A82" i="2"/>
  <c r="A83" i="2"/>
  <c r="A75" i="2"/>
  <c r="T145" i="2"/>
  <c r="D99" i="2"/>
  <c r="D101" i="2"/>
  <c r="D100" i="2"/>
  <c r="T146" i="2"/>
  <c r="M154" i="2"/>
  <c r="T154" i="2"/>
  <c r="T149" i="2"/>
  <c r="N72" i="1"/>
  <c r="L72" i="1"/>
  <c r="K72" i="1"/>
  <c r="J72" i="1"/>
  <c r="H72" i="1"/>
  <c r="F72" i="1"/>
  <c r="E72" i="1"/>
  <c r="J71" i="1"/>
  <c r="C71" i="1"/>
  <c r="I68" i="1"/>
  <c r="C68" i="1"/>
  <c r="I64" i="1"/>
  <c r="C64" i="1"/>
  <c r="I60" i="1"/>
  <c r="C60" i="1"/>
  <c r="I56" i="1"/>
  <c r="C56" i="1"/>
  <c r="I52" i="1"/>
  <c r="C52" i="1"/>
  <c r="J51" i="1"/>
  <c r="D51" i="1"/>
  <c r="T47" i="1"/>
  <c r="T68" i="1"/>
  <c r="R47" i="1"/>
  <c r="Q47" i="1"/>
  <c r="H47" i="1"/>
  <c r="T67" i="1"/>
  <c r="F47" i="1"/>
  <c r="E47" i="1"/>
  <c r="C46" i="1"/>
  <c r="W34" i="1"/>
  <c r="Y36" i="1"/>
  <c r="X36" i="1"/>
  <c r="W36" i="1"/>
  <c r="T60" i="1"/>
  <c r="R36" i="1"/>
  <c r="Q36" i="1"/>
  <c r="L36" i="1"/>
  <c r="K36" i="1"/>
  <c r="U3" i="1"/>
  <c r="F36" i="1"/>
  <c r="E36" i="1"/>
  <c r="O30" i="1"/>
  <c r="I30" i="1"/>
  <c r="B124" i="2"/>
  <c r="I25" i="1"/>
  <c r="B123" i="2"/>
  <c r="I20" i="1"/>
  <c r="B122" i="2"/>
  <c r="I15" i="1"/>
  <c r="B121" i="2"/>
  <c r="O10" i="1"/>
  <c r="I10" i="1"/>
  <c r="B120" i="2"/>
  <c r="W9" i="1"/>
  <c r="P9" i="1"/>
  <c r="J9" i="1"/>
  <c r="H41" i="1"/>
  <c r="T55" i="1"/>
  <c r="X55" i="1"/>
  <c r="W62" i="1"/>
  <c r="W61" i="1"/>
  <c r="P37" i="1"/>
  <c r="T133" i="2"/>
  <c r="T66" i="1"/>
  <c r="W66" i="1"/>
  <c r="U36" i="1"/>
  <c r="H5" i="2"/>
  <c r="Y131" i="2"/>
  <c r="T56" i="1"/>
  <c r="T57" i="1"/>
  <c r="W59" i="1"/>
  <c r="Y60" i="1"/>
  <c r="W60" i="1"/>
  <c r="W68" i="1"/>
  <c r="Y68" i="1"/>
  <c r="Y67" i="1"/>
  <c r="W67" i="1"/>
  <c r="Y1" i="1"/>
  <c r="J41" i="1"/>
  <c r="R65" i="1"/>
  <c r="W55" i="1"/>
  <c r="W58" i="1"/>
  <c r="J37" i="1"/>
  <c r="Y59" i="2"/>
  <c r="M15" i="2"/>
  <c r="Y66" i="1"/>
  <c r="Y57" i="1"/>
  <c r="W57" i="1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53" i="2"/>
  <c r="Q49" i="1"/>
  <c r="I46" i="2"/>
  <c r="H46" i="2"/>
  <c r="G46" i="2"/>
  <c r="F46" i="2"/>
  <c r="E46" i="2"/>
  <c r="E45" i="2"/>
  <c r="F45" i="2"/>
  <c r="G45" i="2"/>
  <c r="H45" i="2"/>
  <c r="I45" i="2"/>
  <c r="J45" i="2" s="1"/>
  <c r="A37" i="2"/>
  <c r="A36" i="2"/>
  <c r="A35" i="2"/>
  <c r="A34" i="2"/>
  <c r="A33" i="2"/>
  <c r="A32" i="2"/>
  <c r="A31" i="2"/>
  <c r="A25" i="2"/>
  <c r="A26" i="2"/>
  <c r="A27" i="2"/>
  <c r="A28" i="2"/>
  <c r="A29" i="2"/>
  <c r="A30" i="2"/>
  <c r="A24" i="2"/>
  <c r="I44" i="2"/>
  <c r="H44" i="2"/>
  <c r="G44" i="2"/>
  <c r="E44" i="2"/>
  <c r="F44" i="2"/>
  <c r="C5" i="2"/>
  <c r="H7" i="2"/>
  <c r="M16" i="2"/>
  <c r="M14" i="2"/>
  <c r="C9" i="2"/>
  <c r="W56" i="1"/>
  <c r="Y56" i="1"/>
  <c r="M13" i="2"/>
  <c r="M5" i="2"/>
  <c r="J38" i="1"/>
  <c r="C39" i="4"/>
  <c r="D39" i="4"/>
  <c r="J45" i="4"/>
  <c r="B39" i="4"/>
  <c r="J44" i="4"/>
  <c r="J46" i="4"/>
  <c r="U6" i="1"/>
  <c r="C40" i="4"/>
  <c r="J42" i="4"/>
  <c r="U5" i="1"/>
  <c r="G36" i="1"/>
  <c r="E124" i="2" l="1"/>
  <c r="C98" i="2"/>
  <c r="J46" i="2"/>
  <c r="E122" i="2"/>
  <c r="D103" i="2"/>
  <c r="D98" i="2" s="1"/>
  <c r="E125" i="2"/>
  <c r="J40" i="1" s="1"/>
  <c r="S64" i="1" s="1"/>
  <c r="C104" i="2" l="1"/>
  <c r="B104" i="2"/>
  <c r="J39" i="1" s="1"/>
  <c r="T63" i="1" s="1"/>
  <c r="T70" i="1" s="1"/>
  <c r="W70" i="1" s="1"/>
  <c r="Y70" i="1" l="1"/>
</calcChain>
</file>

<file path=xl/sharedStrings.xml><?xml version="1.0" encoding="utf-8"?>
<sst xmlns="http://schemas.openxmlformats.org/spreadsheetml/2006/main" count="416" uniqueCount="259">
  <si>
    <t>Thesis</t>
  </si>
  <si>
    <t>CP</t>
  </si>
  <si>
    <t>(R)egulär CS / (A)nerkannt</t>
  </si>
  <si>
    <t>R</t>
  </si>
  <si>
    <t>Biomoleküle:</t>
  </si>
  <si>
    <t>Zellen:</t>
  </si>
  <si>
    <t>Organsimen:</t>
  </si>
  <si>
    <t>Medizin:</t>
  </si>
  <si>
    <t>Technik:</t>
  </si>
  <si>
    <t>Wissenschaftliche Projektplanung</t>
  </si>
  <si>
    <t>Kernbereich</t>
  </si>
  <si>
    <t>mind.</t>
  </si>
  <si>
    <t>Theorie</t>
  </si>
  <si>
    <t>Praxis</t>
  </si>
  <si>
    <t>ABF / ÜFQ</t>
  </si>
  <si>
    <t>WPP</t>
  </si>
  <si>
    <t>Erreichte von  mind. in FPSO geforderten CPs</t>
  </si>
  <si>
    <t>Studienabschluss</t>
  </si>
  <si>
    <t>Kernmodule</t>
  </si>
  <si>
    <t>Vertiefung</t>
  </si>
  <si>
    <t>ABF/FÜG</t>
  </si>
  <si>
    <t>Theorie od. Praxis</t>
  </si>
  <si>
    <t>ÜBERSICHT Studienabschluss gesamt (Kernmodule, Vertiefung, ABF/FÜG, WPP, Thesis)</t>
  </si>
  <si>
    <t xml:space="preserve"> ZEUGNISRELEVANTE Allgemeinbildende / Überfachliche Module</t>
  </si>
  <si>
    <t>Carl-von Linde -Module</t>
  </si>
  <si>
    <t>UnternehmerTUM -Module</t>
  </si>
  <si>
    <t>WZ / TUM SoLS - Module</t>
  </si>
  <si>
    <t>Andere Module</t>
  </si>
  <si>
    <t>NICHT-ZEUGNISRELEVANTE Module (Zusatzmodule)</t>
  </si>
  <si>
    <t>CP lt. individ. Plan</t>
  </si>
  <si>
    <t>Wissenschaftliche Projektplanung (WPP) und Thesis</t>
  </si>
  <si>
    <t>(R)eguläre / (A)nerkannte Module / CP-Summe</t>
  </si>
  <si>
    <t>Thesis-Bewertung</t>
  </si>
  <si>
    <t>Zeugniswunsch</t>
  </si>
  <si>
    <t>Sprachenzentrum</t>
  </si>
  <si>
    <t>Moduldaten(*)</t>
  </si>
  <si>
    <t>NUR: (R)eguläre Module zulässig  / CP-Summe</t>
  </si>
  <si>
    <t>Technische Universität München, TUM School of Life Sciences</t>
  </si>
  <si>
    <t>Datum des Studienplanes:</t>
  </si>
  <si>
    <t xml:space="preserve">Erstell-Datum des Studienplans  ↑ </t>
  </si>
  <si>
    <t>SP als</t>
  </si>
  <si>
    <t>Anfangsplan</t>
  </si>
  <si>
    <t>Änderungsplan</t>
  </si>
  <si>
    <t>Studienbeginn</t>
  </si>
  <si>
    <t>S</t>
  </si>
  <si>
    <t>W</t>
  </si>
  <si>
    <t xml:space="preserve"> ↑ Optional: Telefon-Nr. für Rückfragen</t>
  </si>
  <si>
    <t>Wenn Sie alle abgelegten, laufenden und für die Zukunft geplanten Module korrekt</t>
  </si>
  <si>
    <t>oben eingetragen haben, können Sie in Übersicht unten sehen, ob Sie FPSO-konform</t>
  </si>
  <si>
    <t>geplant haben. Bei Unklarheiten bitte Studienfachberatung explizit kontaktieren.</t>
  </si>
  <si>
    <t>In diesem KB minimal 1, maximal 2 Module belegen</t>
  </si>
  <si>
    <t>Modulanzahl-Check</t>
  </si>
  <si>
    <t>Ausreichend Module in diesem KB</t>
  </si>
  <si>
    <t>VT1</t>
  </si>
  <si>
    <t>VT2</t>
  </si>
  <si>
    <t>VT3</t>
  </si>
  <si>
    <t>VT4</t>
  </si>
  <si>
    <t>VT5</t>
  </si>
  <si>
    <t>Anzahl Module Theorie:</t>
  </si>
  <si>
    <t>Anzahl VTs</t>
  </si>
  <si>
    <t>Zu viele Vertiefungen bei "Praxis", max. 3 VTs!</t>
  </si>
  <si>
    <t>Zu viele Vertiefungen bei "Theorie", max. 3 VTs!</t>
  </si>
  <si>
    <t>FPSO Anzahl min</t>
  </si>
  <si>
    <t>FPSO Anzahl max</t>
  </si>
  <si>
    <t>Zu wenige Vertiefungen bei "Praxis", min. 2 VTs!</t>
  </si>
  <si>
    <t>Zu wenige Vertiefungen bei "Theorie", min. 2 VTs!</t>
  </si>
  <si>
    <t xml:space="preserve"> Summe CPs</t>
  </si>
  <si>
    <t>max.</t>
  </si>
  <si>
    <t>Summe muss von "oben heran" nah an 120 CP sein! Sonst überzhlg. Modul(e) in Zusatzbereich legen!</t>
  </si>
  <si>
    <t xml:space="preserve">Mindest-Soll CPs Theorie-VT | Mindest-Soll CPs Praxis-VT </t>
  </si>
  <si>
    <t xml:space="preserve"> ↑ Ihr Studienbeginn im o. g. Studiengang:</t>
  </si>
  <si>
    <t xml:space="preserve"> ++49 +1…..</t>
  </si>
  <si>
    <t>Angewandte Mikrobiologie</t>
  </si>
  <si>
    <t>Wann</t>
  </si>
  <si>
    <t>Skerra</t>
  </si>
  <si>
    <t>Liebl</t>
  </si>
  <si>
    <t>Krüger</t>
  </si>
  <si>
    <t>Küster</t>
  </si>
  <si>
    <t>Kramer</t>
  </si>
  <si>
    <t>Poppenberger-Sieberer</t>
  </si>
  <si>
    <t>Haller</t>
  </si>
  <si>
    <t>Kulozik </t>
  </si>
  <si>
    <t>BM</t>
  </si>
  <si>
    <t>ZE</t>
  </si>
  <si>
    <t>OR</t>
  </si>
  <si>
    <t>ME</t>
  </si>
  <si>
    <t>TE</t>
  </si>
  <si>
    <t>Kernbereichmodule</t>
  </si>
  <si>
    <t>WZ2439</t>
  </si>
  <si>
    <t>WZ2580</t>
  </si>
  <si>
    <t>WZ2626</t>
  </si>
  <si>
    <t>WZ2372</t>
  </si>
  <si>
    <t>WZ2582</t>
  </si>
  <si>
    <t>WZ2581</t>
  </si>
  <si>
    <t>WZ2589</t>
  </si>
  <si>
    <t>WZ2648</t>
  </si>
  <si>
    <t>WZ3207</t>
  </si>
  <si>
    <t>WZ2583</t>
  </si>
  <si>
    <t>WZ2584</t>
  </si>
  <si>
    <t>Proteomics: Analytische Grundlagen und Biomedizinische Anwendungen</t>
  </si>
  <si>
    <t>Protein-Engineering</t>
  </si>
  <si>
    <t>Mikroorganismen als Krankheitserreger</t>
  </si>
  <si>
    <t>In vitro-Modelle der Zellbiologie</t>
  </si>
  <si>
    <t>Pflanzenbiotechnologie</t>
  </si>
  <si>
    <t>Biotechnologie der Tiere 1+2</t>
  </si>
  <si>
    <t>Molekulare Onkologie</t>
  </si>
  <si>
    <t>Nutrition and Microbe-Host Interactions</t>
  </si>
  <si>
    <t>Proteomics: Analytische Grundlagen und Biomedizinische Anwendungen (Küster) / 5 CP, [WZ2439] BM</t>
  </si>
  <si>
    <t>Protein-Engineering (Skerra) / 5 CP, [WZ2580] BM</t>
  </si>
  <si>
    <t xml:space="preserve">  @</t>
  </si>
  <si>
    <t>Anzahl P-VTs</t>
  </si>
  <si>
    <t>Anzahl T-VTs</t>
  </si>
  <si>
    <t>Anzahl Module in VT BM</t>
  </si>
  <si>
    <t>Anzahl Module in VT ZE</t>
  </si>
  <si>
    <t>Anzahl Module in VT OR</t>
  </si>
  <si>
    <t>Anzahl Module in VT ME</t>
  </si>
  <si>
    <t>Anzahl Module in VT TE</t>
  </si>
  <si>
    <t>VTmin lt FPSO</t>
  </si>
  <si>
    <t>VTmax lt FPSO</t>
  </si>
  <si>
    <t xml:space="preserve">Einhaltung der 2 - 3 Vertiefungen bei  "T" bzw. "P" </t>
  </si>
  <si>
    <t>VTs mit 2 - 3 Mod bestücken</t>
  </si>
  <si>
    <t>Module da (1/0)</t>
  </si>
  <si>
    <t>Theorie-VT Module</t>
  </si>
  <si>
    <t>Praxis-VT Module</t>
  </si>
  <si>
    <t>Summenbildung</t>
  </si>
  <si>
    <t>Möglichkeiten</t>
  </si>
  <si>
    <t>Endergebnis:</t>
  </si>
  <si>
    <t>Zu viele Vertiefungen. Bitte T&amp;P - Module auf max. 3 Vertiefungen  verteilen!</t>
  </si>
  <si>
    <t>Gesamt-Cp</t>
  </si>
  <si>
    <t>Credits in der VT:</t>
  </si>
  <si>
    <t>Anzahl Module Praxis:</t>
  </si>
  <si>
    <t>% CPs in VT1</t>
  </si>
  <si>
    <t>% CPs in VT2</t>
  </si>
  <si>
    <t>% CPs in VT3</t>
  </si>
  <si>
    <t>% CPs in VT4</t>
  </si>
  <si>
    <t>% CPs in VT5</t>
  </si>
  <si>
    <t>Absolute Abweichung vom Ideal%-Wert VT1</t>
  </si>
  <si>
    <t>Absolute Abweichung vom Ideal%-Wert VT2</t>
  </si>
  <si>
    <t>Absolute Abweichung vom Ideal%-Wert VT3</t>
  </si>
  <si>
    <t>Absolute Abweichung vom Ideal%-Wert VT4</t>
  </si>
  <si>
    <t>Absolute Abweichung vom Ideal%-Wert VT5</t>
  </si>
  <si>
    <t>Modelle</t>
  </si>
  <si>
    <t>Verteilung der CPs in ausgewogener Weise innerhalb der gewählten 2-3 VTs</t>
  </si>
  <si>
    <t>Schwellenwert:</t>
  </si>
  <si>
    <t>Berechneter Schwellenwert</t>
  </si>
  <si>
    <t>Wichtiger Hinweis: Der Studienplan wird weitegehend automatisch</t>
  </si>
  <si>
    <t>geprüft. Das Eintragen valider, FPSO-konformer Module und deren</t>
  </si>
  <si>
    <t>antwortung der Studierenden und wird NICHT geprüft!</t>
  </si>
  <si>
    <t>Im Kernbereich darf WZ2626 (Angw. MB)  u. WZ2372 (MO Krnkh.)</t>
  </si>
  <si>
    <t xml:space="preserve"> nicht kombiniert werden!</t>
  </si>
  <si>
    <t>Credits sowie die Zuordnung zu den Vertiefungen liegt in der Ver-</t>
  </si>
  <si>
    <t>in dem Dokument normalerweise automatisch rot hinterlegt.</t>
  </si>
  <si>
    <t>NN</t>
  </si>
  <si>
    <t>VN</t>
  </si>
  <si>
    <t>0…</t>
  </si>
  <si>
    <t>WZ2626 (Angw. MB)  u. WZ2372 (MO Krnkh.) nicht im KB kombinierbar</t>
  </si>
  <si>
    <t>2 bis 3 VTs mit z.B. jeweils 1 bis 3 (bis 4) Modulen bestücken</t>
  </si>
  <si>
    <t>(R)egulär CS / (A)nerkannt / (B)eantragt</t>
  </si>
  <si>
    <t>Die Credits in den gew. VTs sind NICHT genug ausbalanciert verteilt. Bitte die VTs besser ausbalancieren!</t>
  </si>
  <si>
    <t>Die Credits der Module in den VTs sind hinreichend ausbalanciert verteilt</t>
  </si>
  <si>
    <t>Modelle (&gt;=37 CP)</t>
  </si>
  <si>
    <t>Mindest-CPs NICHT erreicht</t>
  </si>
  <si>
    <t>VTt
+VTp=
VTsum</t>
  </si>
  <si>
    <t>ZEUGNISRELEVANTE biowissenschaftliche Module (Kernbereich)</t>
  </si>
  <si>
    <t>ZEUGNISRELEVANTE biowissenschaftliche Module (Vertiefungsbereich)</t>
  </si>
  <si>
    <t>SUMME Vertiefung Theorie + Praxis</t>
  </si>
  <si>
    <t>Erreichte CP in dem Bereich:</t>
  </si>
  <si>
    <t>Möglichleiten:</t>
  </si>
  <si>
    <t>Ausreichend CPs im Bereich der "T" und "P" - Module der Vertiefungen.</t>
  </si>
  <si>
    <t>Antwort</t>
  </si>
  <si>
    <t>Bitte CPs im Bereich der Vertiefungsmodule eintragen</t>
  </si>
  <si>
    <t>Noch zu wenige CPs im Bereich der "T" und "P" - Module der Vertiefungen eingetragen</t>
  </si>
  <si>
    <t>eine fiktives Modul, das evtl überschüssig ist mit .. CP</t>
  </si>
  <si>
    <t>T &amp; P -Module sind FPSO-konform auf die Vertiefungen verteilt</t>
  </si>
  <si>
    <t>Ausreichend CPs für die Summe der Module im Bereich Vertiefungen</t>
  </si>
  <si>
    <t>Anzahl VTs zu gering lt. FPSO</t>
  </si>
  <si>
    <t>Anzahl VTs zu hoch lt. FPSO</t>
  </si>
  <si>
    <t>CPs</t>
  </si>
  <si>
    <t xml:space="preserve"> ↑ Ihr Nachname / Familienname</t>
  </si>
  <si>
    <t xml:space="preserve"> ↑ Ihr Vorname</t>
  </si>
  <si>
    <t>↑ Ihre TUM(!) E-Mail-Adresse (VN.NN@TUM.de od. VN.NN@myTUM.de)</t>
  </si>
  <si>
    <t>WZ1337</t>
  </si>
  <si>
    <t>WZ1336</t>
  </si>
  <si>
    <t>Bioinformatik/Molekulare Simulationsmethoden (NEU ab 2021W)</t>
  </si>
  <si>
    <t>Bioinformatik/Proteinstrukturen  (NEU ab 2021W)</t>
  </si>
  <si>
    <t xml:space="preserve"> ZEUGNISRELEVANTE ABF / FÜG - Module: &gt;= 8 CPs</t>
  </si>
  <si>
    <t xml:space="preserve"> ZEUGNISRELEVANTE Kernmodule (= Grundlagenmodule): = 40 CPs</t>
  </si>
  <si>
    <t xml:space="preserve"> ↑ Ihre Matrikelnummer</t>
  </si>
  <si>
    <t>Verteilung der Module auf die geeignete Anzahl der Vertiefungen:</t>
  </si>
  <si>
    <t xml:space="preserve">Abweichungen von der FPSO  (Gesamt CP, Anzahl SPs,…) werden </t>
  </si>
  <si>
    <t>Modul
-start</t>
  </si>
  <si>
    <t>Ihr gerade verwendeter Dateiname:</t>
  </si>
  <si>
    <t>↑ Studienplan vorgelegt als</t>
  </si>
  <si>
    <t xml:space="preserve"> ↑….MSc-Fachsemester zum heutigen Datum
 (Semesterwechsel: 01.10 u. 01.04.JJJJ)</t>
  </si>
  <si>
    <t>FPSO MSc MBT 2018 (20181)</t>
  </si>
  <si>
    <t>Anzahl VTs FPSO-konform</t>
  </si>
  <si>
    <t>Probeläufe:</t>
  </si>
  <si>
    <t>Schwellenwert</t>
  </si>
  <si>
    <r>
      <t>Max. Soll CPs VTp</t>
    </r>
    <r>
      <rPr>
        <sz val="11"/>
        <color rgb="FF00B050"/>
        <rFont val="Calibri"/>
        <family val="2"/>
        <scheme val="minor"/>
      </rPr>
      <t xml:space="preserve"> (weiches Kriterium)</t>
    </r>
  </si>
  <si>
    <t>Anzahl VTs:</t>
  </si>
  <si>
    <t>T/P-Vertlng.:</t>
  </si>
  <si>
    <t>Balance:</t>
  </si>
  <si>
    <r>
      <t>Min-Soll CPs VTp</t>
    </r>
    <r>
      <rPr>
        <sz val="11"/>
        <color rgb="FFFF0000"/>
        <rFont val="Calibri"/>
        <family val="2"/>
        <scheme val="minor"/>
      </rPr>
      <t xml:space="preserve"> (hartes Kriterium)</t>
    </r>
  </si>
  <si>
    <r>
      <t>Min-Soll CPs VTt</t>
    </r>
    <r>
      <rPr>
        <sz val="11"/>
        <color rgb="FFFF0000"/>
        <rFont val="Calibri"/>
        <family val="2"/>
        <scheme val="minor"/>
      </rPr>
      <t xml:space="preserve"> (hartes Kriterium)</t>
    </r>
  </si>
  <si>
    <r>
      <t>Max. Soll CPs VTt</t>
    </r>
    <r>
      <rPr>
        <sz val="11"/>
        <color rgb="FF00B050"/>
        <rFont val="Calibri"/>
        <family val="2"/>
        <scheme val="minor"/>
      </rPr>
      <t xml:space="preserve"> (weiches Kriterium)</t>
    </r>
  </si>
  <si>
    <t>Mindest-Soll CPs VTt noch NICHT erreicht</t>
  </si>
  <si>
    <t>Sowohl Mindest- (als auch Maximal CPs) bei VTt  FPSO-konform</t>
  </si>
  <si>
    <t>Mindest-CPs bei VTt FPSO-konform, Maximum-CPs tolerabel, obwohl nicht FPSO-konform</t>
  </si>
  <si>
    <t>Maximum-CPs bei VTt FPSO-konform</t>
  </si>
  <si>
    <t>Maximum CPs bei VTt zwar NICHT FPSO-konform, aber tolerabel</t>
  </si>
  <si>
    <t xml:space="preserve">  aus Theorie (VTt)</t>
  </si>
  <si>
    <t xml:space="preserve">  aus Praxis (VTp)</t>
  </si>
  <si>
    <t>Mindest-Soll CPs VTp noch NICHT erreicht</t>
  </si>
  <si>
    <t>Sowohl Mindest- (als auch Maximal CPs) bei VTp  FPSO-konform</t>
  </si>
  <si>
    <t>Maximum-CPs bei VTp FPSO-konform</t>
  </si>
  <si>
    <t>CPs bei VTp liegen sogar noch unter Mindest-CPs</t>
  </si>
  <si>
    <t>Maximum CPs bei VTp zwar NICHT FPSO-konform, aber tolerabel</t>
  </si>
  <si>
    <t>CPs bei VTt liegen sogar noch unter Mindest-CPs</t>
  </si>
  <si>
    <t>für Summe CPs* Note, sofern Note eingetragen</t>
  </si>
  <si>
    <t>Durchschnittsnote Zeugnisrelevante benotete Moduls</t>
  </si>
  <si>
    <t>Eventuell / Womöglich zu viele CPs in (!) zeugnisrelevanten Vertiefungen. Bitte prüfen, ob durch Wegnahme von von 1 - n  Modulen von oberen heran näher an die 37 CP zu kommen ist!</t>
  </si>
  <si>
    <t>Geplante CPs zu hoch</t>
  </si>
  <si>
    <t>CPs (min.) gemäß FPSO-Vorgabe</t>
  </si>
  <si>
    <t xml:space="preserve">Eventuell / Womöglich zu viele CPs in (!) zeugnisrelevanten ABF / ÜFQ. </t>
  </si>
  <si>
    <t xml:space="preserve">Sperren einzelner Zellen: 
-) im ersten Schritt alle Zellen auf gesperrt setzen: Markieren &gt; STARTMENUE&gt;Zellen formatieren &gt; Gesperr &gt; OK
-) Zellen ohne Sperrung markieren. Hier w.o.aber Gespreet DEAKTIVIEREN
-) Reiter ÜBERPRÜFEN und klicken Sie auf Blatt schützen.
</t>
  </si>
  <si>
    <t>Mindest-CPs bei VTt FPSO-konform (Max.-CPs nicht FPSO-konform, aber tolerabel)</t>
  </si>
  <si>
    <t>P</t>
  </si>
  <si>
    <t>Note*</t>
  </si>
  <si>
    <t>*Note: Dezimale Note oder P für Pass (Bestanden)</t>
  </si>
  <si>
    <t>CPs mit SL</t>
  </si>
  <si>
    <t>CPs mit PL</t>
  </si>
  <si>
    <t>CPs*Note (PL)</t>
  </si>
  <si>
    <t>für summe CPs (SL, PL)</t>
  </si>
  <si>
    <t>PL / SL</t>
  </si>
  <si>
    <t>für Summe CPs mit Note (PL)</t>
  </si>
  <si>
    <t>Berechnung der voraussichtlichen Endote auf basis BENOTETER und Pass - CPs im zeugnisrelevanten Bereich</t>
  </si>
  <si>
    <t>(vorl. &amp; unverbndl.) Notendurchschnitt:</t>
  </si>
  <si>
    <t>Benotete CPs (P od. numerische Note eingetragen):</t>
  </si>
  <si>
    <t>Im Studienplan zurzeit eingetragene / geplanten CPs:</t>
  </si>
  <si>
    <r>
      <t xml:space="preserve">Masterstudiengang Molekulare Biotechnologie - Studienplan FPSO 20181 </t>
    </r>
    <r>
      <rPr>
        <b/>
        <sz val="10"/>
        <color theme="1"/>
        <rFont val="TUM Neue Helvetica 55 Regular"/>
        <family val="2"/>
      </rPr>
      <t>(Formblatt ver. 04.10.2022)</t>
    </r>
  </si>
  <si>
    <t>In vitro-Modelle der Zellbiologie (Kramer) / 5 CP, [WZ2582] ZE</t>
  </si>
  <si>
    <t>Nutrition and Microbe-Host Interactions (Haller) / 5 CP, [WZ3207] ME</t>
  </si>
  <si>
    <t>Bioinformatik / Genomik (Wieder ab inkl. 2022W)</t>
  </si>
  <si>
    <t>LS20040</t>
  </si>
  <si>
    <t>Sönnichsen et al.</t>
  </si>
  <si>
    <t>Biopharmazeutische Verfahrenstechnik (ab 2022W)</t>
  </si>
  <si>
    <t>Biopharmazeutische Technologie (nicht mehr anfangen ab inkl. 22W)</t>
  </si>
  <si>
    <t>Frischmann / Di Pizio)</t>
  </si>
  <si>
    <t>Biopharmazeutische Verfahrenstechnik (ab 2022W) (Sönnichsen et al.) / 5 CP, [LS20040] TE</t>
  </si>
  <si>
    <t>Bioinformatik / Genomik (Wieder ab inkl. 2022W) (Frischmann / Di Pizio)) / 5 CP, [WZ2583] TE</t>
  </si>
  <si>
    <t>v.2022-10-13</t>
  </si>
  <si>
    <t>Hall / Durner</t>
  </si>
  <si>
    <t>Flisikowska</t>
  </si>
  <si>
    <t>Mikroorganismen als Krankheitserreger (Hall / Durner) / 5 CP, [WZ2372] ZE</t>
  </si>
  <si>
    <t>(Ab)gerunderter berechneter Schwellenwert</t>
  </si>
  <si>
    <t>! Studienplan UNBEDINGT unter 
MS-Windows mit MS-EXCEL bearbeiten!</t>
  </si>
  <si>
    <t>v. 06.12.2022 mgs</t>
  </si>
  <si>
    <t>Idealform: Modulname (Modulveantwortl.)/ [Modulnummer]</t>
  </si>
  <si>
    <t>BESIPIEL: Schwedisch A1 (Lundgreen)/ [SZ1001]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</si>
</sst>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_-;\-* #,##0.0_-;_-* &quot;-&quot;??_-;_-@_-"/>
    <numFmt numFmtId="165" formatCode="_-* #,##0.0000_-;\-* #,##0.0000_-;_-* &quot;-&quot;??_-;_-@_-"/>
    <numFmt numFmtId="166" formatCode="#,##0.0000_ ;\-#,##0.0000\ "/>
    <numFmt numFmtId="167" formatCode="0.0"/>
    <numFmt numFmtId="168" formatCode="&quot;von &quot;\ ##"/>
    <numFmt numFmtId="169" formatCode="0.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UM Neue Helvetica 55 Regular"/>
      <family val="2"/>
    </font>
    <font>
      <b/>
      <sz val="11"/>
      <color theme="3" tint="0.39997558519241921"/>
      <name val="TUM Neue Helvetica 55 Regular"/>
      <family val="2"/>
    </font>
    <font>
      <sz val="5"/>
      <color theme="1"/>
      <name val="Calibri"/>
      <family val="2"/>
      <scheme val="minor"/>
    </font>
    <font>
      <b/>
      <sz val="12"/>
      <color theme="1"/>
      <name val="TUM Neue Helvetica 55 Regular"/>
      <family val="2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TUM Neue Helvetica 55 Regular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UM Neue Helvetica 55 Regular"/>
      <family val="2"/>
    </font>
    <font>
      <b/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8"/>
      <color rgb="FFFA7D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0"/>
      <color theme="1"/>
      <name val="TUM Neue Helvetica 55 Regular"/>
      <family val="2"/>
    </font>
    <font>
      <sz val="11"/>
      <color theme="5"/>
      <name val="Calibri"/>
      <family val="2"/>
      <scheme val="minor"/>
    </font>
    <font>
      <b/>
      <sz val="40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rgb="FFDBEBD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rgb="FF7F7F7F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rgb="FF7F7F7F"/>
      </top>
      <bottom style="mediumDashed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7F7F7F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mediumDashed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/>
      <right/>
      <top/>
      <bottom style="thin">
        <color rgb="FF7F7F7F"/>
      </bottom>
      <diagonal/>
    </border>
    <border>
      <left/>
      <right/>
      <top style="mediumDashed">
        <color auto="1"/>
      </top>
      <bottom style="thin">
        <color rgb="FF7F7F7F"/>
      </bottom>
      <diagonal/>
    </border>
    <border>
      <left/>
      <right/>
      <top style="thin">
        <color rgb="FF7F7F7F"/>
      </top>
      <bottom style="dashed">
        <color rgb="FF7F7F7F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thin">
        <color rgb="FF7F7F7F"/>
      </top>
      <bottom/>
      <diagonal/>
    </border>
    <border>
      <left/>
      <right style="thick">
        <color auto="1"/>
      </right>
      <top/>
      <bottom style="thin">
        <color rgb="FF7F7F7F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medium">
        <color rgb="FF007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14" fontId="15" fillId="15" borderId="0" xfId="0" applyNumberFormat="1" applyFont="1" applyFill="1" applyBorder="1" applyAlignment="1" applyProtection="1">
      <alignment horizontal="center"/>
      <protection locked="0"/>
    </xf>
    <xf numFmtId="49" fontId="16" fillId="15" borderId="0" xfId="0" applyNumberFormat="1" applyFont="1" applyFill="1" applyBorder="1" applyAlignment="1" applyProtection="1">
      <alignment horizontal="left"/>
      <protection locked="0"/>
    </xf>
    <xf numFmtId="0" fontId="15" fillId="15" borderId="0" xfId="0" applyFont="1" applyFill="1" applyBorder="1" applyAlignment="1" applyProtection="1">
      <alignment horizontal="center"/>
      <protection locked="0"/>
    </xf>
    <xf numFmtId="0" fontId="15" fillId="15" borderId="0" xfId="0" applyFont="1" applyFill="1" applyBorder="1" applyAlignment="1" applyProtection="1">
      <alignment horizontal="left"/>
      <protection locked="0"/>
    </xf>
    <xf numFmtId="49" fontId="16" fillId="15" borderId="0" xfId="0" applyNumberFormat="1" applyFont="1" applyFill="1" applyBorder="1" applyAlignment="1" applyProtection="1">
      <alignment horizontal="left" vertical="center"/>
      <protection locked="0"/>
    </xf>
    <xf numFmtId="0" fontId="15" fillId="15" borderId="2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64" fontId="0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64" fontId="0" fillId="0" borderId="3" xfId="1" applyNumberFormat="1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horizontal="left" vertical="center" wrapText="1"/>
      <protection locked="0"/>
    </xf>
    <xf numFmtId="0" fontId="3" fillId="10" borderId="0" xfId="0" applyFont="1" applyFill="1" applyBorder="1" applyAlignment="1" applyProtection="1">
      <alignment horizontal="center" vertical="center"/>
      <protection locked="0"/>
    </xf>
    <xf numFmtId="164" fontId="0" fillId="1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vertical="center"/>
    </xf>
    <xf numFmtId="164" fontId="0" fillId="0" borderId="2" xfId="1" applyNumberFormat="1" applyFont="1" applyFill="1" applyBorder="1" applyAlignment="1" applyProtection="1">
      <alignment horizontal="center" vertical="center"/>
    </xf>
    <xf numFmtId="164" fontId="0" fillId="0" borderId="3" xfId="1" applyNumberFormat="1" applyFont="1" applyFill="1" applyBorder="1" applyAlignment="1" applyProtection="1">
      <alignment horizontal="center" vertical="center"/>
    </xf>
    <xf numFmtId="0" fontId="0" fillId="9" borderId="8" xfId="0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0" fillId="10" borderId="0" xfId="0" applyFill="1" applyBorder="1" applyAlignment="1" applyProtection="1">
      <alignment horizontal="left" vertical="center" wrapText="1"/>
    </xf>
    <xf numFmtId="0" fontId="3" fillId="10" borderId="0" xfId="0" applyFont="1" applyFill="1" applyBorder="1" applyAlignment="1" applyProtection="1">
      <alignment horizontal="center" vertical="center"/>
    </xf>
    <xf numFmtId="0" fontId="0" fillId="10" borderId="0" xfId="0" applyFill="1" applyBorder="1" applyAlignment="1" applyProtection="1">
      <alignment horizontal="center" vertical="center"/>
    </xf>
    <xf numFmtId="164" fontId="0" fillId="10" borderId="0" xfId="1" applyNumberFormat="1" applyFont="1" applyFill="1" applyBorder="1" applyAlignment="1" applyProtection="1">
      <alignment horizontal="center" vertical="center"/>
    </xf>
    <xf numFmtId="167" fontId="0" fillId="0" borderId="2" xfId="0" applyNumberForma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19" fillId="10" borderId="0" xfId="0" applyFont="1" applyFill="1" applyBorder="1" applyAlignment="1" applyProtection="1">
      <alignment vertical="top"/>
    </xf>
    <xf numFmtId="0" fontId="18" fillId="10" borderId="0" xfId="0" applyFont="1" applyFill="1" applyBorder="1" applyAlignment="1" applyProtection="1">
      <alignment vertical="center"/>
    </xf>
    <xf numFmtId="0" fontId="18" fillId="10" borderId="0" xfId="0" applyFont="1" applyFill="1" applyBorder="1" applyAlignment="1" applyProtection="1">
      <alignment horizontal="center" vertical="center"/>
    </xf>
    <xf numFmtId="0" fontId="14" fillId="1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3" fillId="10" borderId="0" xfId="0" applyFont="1" applyFill="1" applyBorder="1" applyAlignment="1" applyProtection="1">
      <alignment vertical="center" readingOrder="1"/>
    </xf>
    <xf numFmtId="0" fontId="13" fillId="10" borderId="0" xfId="0" applyFont="1" applyFill="1" applyBorder="1" applyAlignment="1" applyProtection="1">
      <alignment horizontal="left" vertical="top"/>
    </xf>
    <xf numFmtId="0" fontId="13" fillId="10" borderId="0" xfId="0" applyFont="1" applyFill="1" applyBorder="1" applyAlignment="1" applyProtection="1">
      <alignment horizontal="left" vertical="center" readingOrder="1"/>
    </xf>
    <xf numFmtId="0" fontId="17" fillId="10" borderId="0" xfId="0" applyFont="1" applyFill="1" applyBorder="1" applyAlignment="1" applyProtection="1">
      <alignment horizontal="center" vertical="center"/>
    </xf>
    <xf numFmtId="0" fontId="13" fillId="10" borderId="0" xfId="0" applyFont="1" applyFill="1" applyBorder="1" applyAlignment="1" applyProtection="1">
      <alignment horizontal="right" vertical="top"/>
    </xf>
    <xf numFmtId="0" fontId="0" fillId="10" borderId="15" xfId="0" applyFont="1" applyFill="1" applyBorder="1" applyAlignment="1" applyProtection="1">
      <alignment horizontal="left" vertical="center" wrapText="1"/>
    </xf>
    <xf numFmtId="0" fontId="0" fillId="10" borderId="0" xfId="0" applyFill="1" applyBorder="1" applyAlignment="1" applyProtection="1"/>
    <xf numFmtId="0" fontId="15" fillId="10" borderId="0" xfId="0" applyFont="1" applyFill="1" applyBorder="1" applyAlignment="1" applyProtection="1"/>
    <xf numFmtId="0" fontId="15" fillId="1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10" borderId="0" xfId="0" applyFill="1" applyBorder="1" applyAlignment="1" applyProtection="1">
      <alignment vertical="top"/>
    </xf>
    <xf numFmtId="0" fontId="0" fillId="10" borderId="15" xfId="0" applyFont="1" applyFill="1" applyBorder="1" applyAlignment="1" applyProtection="1">
      <alignment horizontal="left" vertical="top"/>
    </xf>
    <xf numFmtId="0" fontId="0" fillId="10" borderId="0" xfId="0" applyFont="1" applyFill="1" applyBorder="1" applyAlignment="1" applyProtection="1">
      <alignment horizontal="left" vertical="top"/>
    </xf>
    <xf numFmtId="0" fontId="0" fillId="10" borderId="15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top"/>
    </xf>
    <xf numFmtId="0" fontId="0" fillId="10" borderId="0" xfId="0" applyFill="1" applyBorder="1" applyAlignment="1" applyProtection="1">
      <alignment vertical="center"/>
    </xf>
    <xf numFmtId="0" fontId="15" fillId="10" borderId="2" xfId="0" applyFont="1" applyFill="1" applyBorder="1" applyAlignment="1" applyProtection="1"/>
    <xf numFmtId="0" fontId="3" fillId="10" borderId="0" xfId="0" applyFont="1" applyFill="1" applyBorder="1" applyAlignment="1" applyProtection="1">
      <alignment vertical="top"/>
    </xf>
    <xf numFmtId="0" fontId="0" fillId="10" borderId="14" xfId="0" applyFont="1" applyFill="1" applyBorder="1" applyAlignment="1" applyProtection="1">
      <alignment horizontal="left" vertical="top"/>
    </xf>
    <xf numFmtId="0" fontId="10" fillId="10" borderId="15" xfId="0" applyFont="1" applyFill="1" applyBorder="1" applyAlignment="1" applyProtection="1">
      <alignment horizontal="left" vertical="top"/>
    </xf>
    <xf numFmtId="0" fontId="7" fillId="8" borderId="4" xfId="0" applyFont="1" applyFill="1" applyBorder="1" applyAlignment="1" applyProtection="1">
      <alignment vertical="center"/>
    </xf>
    <xf numFmtId="0" fontId="3" fillId="8" borderId="5" xfId="0" applyFont="1" applyFill="1" applyBorder="1" applyAlignment="1" applyProtection="1">
      <alignment vertical="center"/>
    </xf>
    <xf numFmtId="0" fontId="4" fillId="8" borderId="5" xfId="0" applyFont="1" applyFill="1" applyBorder="1" applyAlignment="1" applyProtection="1">
      <alignment vertical="center"/>
    </xf>
    <xf numFmtId="0" fontId="4" fillId="9" borderId="5" xfId="0" applyFont="1" applyFill="1" applyBorder="1" applyAlignment="1" applyProtection="1">
      <alignment vertical="center"/>
    </xf>
    <xf numFmtId="0" fontId="4" fillId="8" borderId="5" xfId="0" applyFont="1" applyFill="1" applyBorder="1" applyAlignment="1" applyProtection="1">
      <alignment horizontal="center" vertical="center"/>
    </xf>
    <xf numFmtId="0" fontId="4" fillId="13" borderId="4" xfId="0" applyFont="1" applyFill="1" applyBorder="1" applyAlignment="1" applyProtection="1">
      <alignment horizontal="center" vertical="center"/>
    </xf>
    <xf numFmtId="0" fontId="7" fillId="13" borderId="5" xfId="0" applyFont="1" applyFill="1" applyBorder="1" applyAlignment="1" applyProtection="1">
      <alignment vertical="center"/>
    </xf>
    <xf numFmtId="0" fontId="0" fillId="13" borderId="5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10" borderId="6" xfId="0" applyFill="1" applyBorder="1" applyAlignment="1" applyProtection="1">
      <alignment vertical="center"/>
    </xf>
    <xf numFmtId="0" fontId="3" fillId="9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3" fillId="6" borderId="6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0" fontId="0" fillId="7" borderId="0" xfId="0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center" vertical="center"/>
    </xf>
    <xf numFmtId="0" fontId="3" fillId="13" borderId="6" xfId="0" applyFont="1" applyFill="1" applyBorder="1" applyAlignment="1" applyProtection="1">
      <alignment horizontal="center" vertical="center"/>
    </xf>
    <xf numFmtId="0" fontId="5" fillId="12" borderId="0" xfId="0" applyFont="1" applyFill="1" applyBorder="1" applyAlignment="1" applyProtection="1">
      <alignment vertical="center"/>
    </xf>
    <xf numFmtId="0" fontId="0" fillId="12" borderId="0" xfId="0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 wrapText="1"/>
    </xf>
    <xf numFmtId="0" fontId="39" fillId="5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39" fillId="3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 wrapText="1"/>
    </xf>
    <xf numFmtId="0" fontId="39" fillId="4" borderId="0" xfId="0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/>
    </xf>
    <xf numFmtId="0" fontId="12" fillId="12" borderId="0" xfId="0" applyFont="1" applyFill="1" applyBorder="1" applyAlignment="1" applyProtection="1">
      <alignment horizontal="center" vertical="center" wrapText="1"/>
    </xf>
    <xf numFmtId="0" fontId="3" fillId="9" borderId="7" xfId="0" applyFont="1" applyFill="1" applyBorder="1" applyAlignment="1" applyProtection="1">
      <alignment vertical="center"/>
    </xf>
    <xf numFmtId="0" fontId="3" fillId="9" borderId="8" xfId="0" applyFont="1" applyFill="1" applyBorder="1" applyAlignment="1" applyProtection="1">
      <alignment vertical="center"/>
    </xf>
    <xf numFmtId="0" fontId="3" fillId="9" borderId="38" xfId="0" applyFont="1" applyFill="1" applyBorder="1" applyAlignment="1" applyProtection="1">
      <alignment vertical="center"/>
    </xf>
    <xf numFmtId="0" fontId="3" fillId="13" borderId="7" xfId="0" applyFont="1" applyFill="1" applyBorder="1" applyAlignment="1" applyProtection="1">
      <alignment vertical="center"/>
    </xf>
    <xf numFmtId="0" fontId="3" fillId="13" borderId="8" xfId="0" applyFont="1" applyFill="1" applyBorder="1" applyAlignment="1" applyProtection="1">
      <alignment horizontal="left" vertical="center"/>
    </xf>
    <xf numFmtId="0" fontId="3" fillId="9" borderId="9" xfId="0" applyFont="1" applyFill="1" applyBorder="1" applyAlignment="1" applyProtection="1">
      <alignment vertical="center"/>
    </xf>
    <xf numFmtId="0" fontId="3" fillId="9" borderId="6" xfId="0" applyFont="1" applyFill="1" applyBorder="1" applyAlignment="1" applyProtection="1">
      <alignment vertical="center"/>
    </xf>
    <xf numFmtId="0" fontId="0" fillId="13" borderId="9" xfId="0" applyFill="1" applyBorder="1" applyAlignment="1" applyProtection="1">
      <alignment horizontal="center" vertical="center"/>
    </xf>
    <xf numFmtId="0" fontId="3" fillId="10" borderId="0" xfId="0" applyFont="1" applyFill="1" applyBorder="1" applyAlignment="1" applyProtection="1">
      <alignment vertical="center"/>
    </xf>
    <xf numFmtId="0" fontId="5" fillId="10" borderId="0" xfId="0" applyFont="1" applyFill="1" applyBorder="1" applyAlignment="1" applyProtection="1">
      <alignment horizontal="center" vertical="center"/>
    </xf>
    <xf numFmtId="0" fontId="29" fillId="9" borderId="8" xfId="0" applyFont="1" applyFill="1" applyBorder="1" applyAlignment="1" applyProtection="1">
      <alignment horizontal="right" vertical="center"/>
    </xf>
    <xf numFmtId="0" fontId="3" fillId="14" borderId="7" xfId="0" applyFont="1" applyFill="1" applyBorder="1" applyAlignment="1" applyProtection="1">
      <alignment vertical="center"/>
    </xf>
    <xf numFmtId="0" fontId="0" fillId="14" borderId="8" xfId="0" applyFill="1" applyBorder="1" applyAlignment="1" applyProtection="1">
      <alignment horizontal="center" vertical="center"/>
    </xf>
    <xf numFmtId="0" fontId="0" fillId="14" borderId="0" xfId="0" applyFill="1" applyBorder="1" applyAlignment="1" applyProtection="1">
      <alignment horizontal="center" vertical="center"/>
    </xf>
    <xf numFmtId="0" fontId="0" fillId="14" borderId="0" xfId="0" applyFill="1" applyBorder="1" applyAlignment="1" applyProtection="1">
      <alignment vertical="center"/>
    </xf>
    <xf numFmtId="0" fontId="3" fillId="14" borderId="9" xfId="0" applyFont="1" applyFill="1" applyBorder="1" applyAlignment="1" applyProtection="1">
      <alignment vertical="center"/>
    </xf>
    <xf numFmtId="0" fontId="2" fillId="2" borderId="1" xfId="2" applyAlignment="1" applyProtection="1">
      <alignment horizontal="center" vertical="center"/>
    </xf>
    <xf numFmtId="0" fontId="0" fillId="6" borderId="6" xfId="0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31" fillId="2" borderId="1" xfId="2" applyFont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2" fillId="2" borderId="1" xfId="2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6" borderId="0" xfId="0" applyFill="1" applyBorder="1" applyAlignment="1" applyProtection="1">
      <alignment horizontal="center" vertical="center" wrapText="1"/>
    </xf>
    <xf numFmtId="0" fontId="45" fillId="10" borderId="7" xfId="0" applyFont="1" applyFill="1" applyBorder="1" applyAlignment="1" applyProtection="1">
      <alignment vertical="center"/>
    </xf>
    <xf numFmtId="0" fontId="45" fillId="10" borderId="8" xfId="0" applyFont="1" applyFill="1" applyBorder="1" applyAlignment="1" applyProtection="1">
      <alignment vertical="center"/>
    </xf>
    <xf numFmtId="49" fontId="46" fillId="10" borderId="43" xfId="0" applyNumberFormat="1" applyFont="1" applyFill="1" applyBorder="1" applyAlignment="1" applyProtection="1">
      <alignment vertical="center" textRotation="180"/>
    </xf>
    <xf numFmtId="0" fontId="45" fillId="10" borderId="9" xfId="0" applyFont="1" applyFill="1" applyBorder="1" applyAlignment="1" applyProtection="1">
      <alignment vertical="center"/>
    </xf>
    <xf numFmtId="0" fontId="45" fillId="10" borderId="0" xfId="0" applyFont="1" applyFill="1" applyBorder="1" applyAlignment="1" applyProtection="1">
      <alignment vertical="center"/>
    </xf>
    <xf numFmtId="49" fontId="46" fillId="10" borderId="17" xfId="0" applyNumberFormat="1" applyFont="1" applyFill="1" applyBorder="1" applyAlignment="1" applyProtection="1">
      <alignment vertical="center" textRotation="180"/>
    </xf>
    <xf numFmtId="0" fontId="7" fillId="8" borderId="5" xfId="0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/>
    </xf>
    <xf numFmtId="0" fontId="0" fillId="9" borderId="7" xfId="0" applyFill="1" applyBorder="1" applyAlignment="1" applyProtection="1">
      <alignment vertical="center"/>
    </xf>
    <xf numFmtId="0" fontId="3" fillId="9" borderId="8" xfId="0" applyFont="1" applyFill="1" applyBorder="1" applyAlignment="1" applyProtection="1">
      <alignment horizontal="left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0" fillId="10" borderId="13" xfId="0" applyFill="1" applyBorder="1" applyAlignment="1" applyProtection="1">
      <alignment horizontal="left" vertical="center" wrapText="1"/>
    </xf>
    <xf numFmtId="0" fontId="0" fillId="10" borderId="13" xfId="0" applyFill="1" applyBorder="1" applyAlignment="1" applyProtection="1">
      <alignment horizontal="center" vertical="center"/>
    </xf>
    <xf numFmtId="164" fontId="0" fillId="10" borderId="13" xfId="1" applyNumberFormat="1" applyFont="1" applyFill="1" applyBorder="1" applyAlignment="1" applyProtection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2" fillId="2" borderId="11" xfId="2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2" fillId="2" borderId="12" xfId="2" applyBorder="1" applyAlignment="1" applyProtection="1">
      <alignment horizontal="center" vertical="center"/>
    </xf>
    <xf numFmtId="0" fontId="46" fillId="10" borderId="0" xfId="0" applyFont="1" applyFill="1" applyBorder="1" applyAlignment="1" applyProtection="1">
      <alignment vertical="center" textRotation="180"/>
    </xf>
    <xf numFmtId="0" fontId="47" fillId="10" borderId="9" xfId="0" applyFont="1" applyFill="1" applyBorder="1" applyAlignment="1" applyProtection="1">
      <alignment vertical="center"/>
    </xf>
    <xf numFmtId="0" fontId="47" fillId="0" borderId="9" xfId="0" applyFont="1" applyBorder="1" applyAlignment="1" applyProtection="1">
      <alignment horizontal="left" vertical="center"/>
    </xf>
    <xf numFmtId="0" fontId="0" fillId="10" borderId="4" xfId="0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horizontal="center" vertical="center"/>
    </xf>
    <xf numFmtId="0" fontId="47" fillId="10" borderId="34" xfId="0" applyFont="1" applyFill="1" applyBorder="1" applyAlignment="1" applyProtection="1">
      <alignment vertical="center"/>
    </xf>
    <xf numFmtId="0" fontId="45" fillId="10" borderId="13" xfId="0" applyFont="1" applyFill="1" applyBorder="1" applyAlignment="1" applyProtection="1">
      <alignment vertical="center"/>
    </xf>
    <xf numFmtId="0" fontId="46" fillId="10" borderId="13" xfId="0" applyFont="1" applyFill="1" applyBorder="1" applyAlignment="1" applyProtection="1">
      <alignment vertical="center" textRotation="180"/>
    </xf>
    <xf numFmtId="49" fontId="46" fillId="10" borderId="44" xfId="0" applyNumberFormat="1" applyFont="1" applyFill="1" applyBorder="1" applyAlignment="1" applyProtection="1">
      <alignment vertical="center" textRotation="180"/>
    </xf>
    <xf numFmtId="0" fontId="3" fillId="8" borderId="0" xfId="0" applyFont="1" applyFill="1" applyBorder="1" applyAlignment="1" applyProtection="1">
      <alignment vertical="center"/>
    </xf>
    <xf numFmtId="0" fontId="3" fillId="11" borderId="0" xfId="0" applyFont="1" applyFill="1" applyBorder="1" applyAlignment="1" applyProtection="1">
      <alignment horizontal="center" vertical="center"/>
    </xf>
    <xf numFmtId="0" fontId="12" fillId="11" borderId="0" xfId="0" applyFont="1" applyFill="1" applyBorder="1" applyAlignment="1" applyProtection="1">
      <alignment horizontal="center" vertical="center" wrapText="1"/>
    </xf>
    <xf numFmtId="0" fontId="21" fillId="10" borderId="0" xfId="0" applyFont="1" applyFill="1" applyBorder="1" applyAlignment="1" applyProtection="1">
      <alignment vertical="center" textRotation="180"/>
    </xf>
    <xf numFmtId="49" fontId="21" fillId="10" borderId="0" xfId="0" applyNumberFormat="1" applyFont="1" applyFill="1" applyBorder="1" applyAlignment="1" applyProtection="1">
      <alignment vertical="center" textRotation="180"/>
    </xf>
    <xf numFmtId="49" fontId="21" fillId="10" borderId="14" xfId="0" applyNumberFormat="1" applyFont="1" applyFill="1" applyBorder="1" applyAlignment="1" applyProtection="1">
      <alignment vertical="center" textRotation="180"/>
    </xf>
    <xf numFmtId="0" fontId="0" fillId="13" borderId="6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0" fillId="10" borderId="18" xfId="0" applyFill="1" applyBorder="1" applyAlignment="1" applyProtection="1">
      <alignment vertical="center"/>
    </xf>
    <xf numFmtId="0" fontId="0" fillId="10" borderId="2" xfId="0" applyFill="1" applyBorder="1" applyAlignment="1" applyProtection="1">
      <alignment horizontal="right" vertical="center"/>
    </xf>
    <xf numFmtId="0" fontId="2" fillId="2" borderId="19" xfId="2" applyBorder="1" applyAlignment="1" applyProtection="1">
      <alignment vertical="center"/>
    </xf>
    <xf numFmtId="0" fontId="2" fillId="2" borderId="19" xfId="2" applyBorder="1" applyAlignment="1" applyProtection="1">
      <alignment horizontal="center" vertical="center"/>
    </xf>
    <xf numFmtId="0" fontId="0" fillId="10" borderId="20" xfId="0" applyFill="1" applyBorder="1" applyAlignment="1" applyProtection="1">
      <alignment vertical="center"/>
    </xf>
    <xf numFmtId="0" fontId="0" fillId="10" borderId="21" xfId="0" applyFill="1" applyBorder="1" applyAlignment="1" applyProtection="1">
      <alignment horizontal="right" vertical="center"/>
    </xf>
    <xf numFmtId="0" fontId="2" fillId="2" borderId="22" xfId="2" applyBorder="1" applyAlignment="1" applyProtection="1">
      <alignment vertical="center"/>
    </xf>
    <xf numFmtId="0" fontId="2" fillId="2" borderId="22" xfId="2" applyBorder="1" applyAlignment="1" applyProtection="1">
      <alignment horizontal="center" vertical="center"/>
    </xf>
    <xf numFmtId="0" fontId="2" fillId="10" borderId="29" xfId="2" applyFill="1" applyBorder="1" applyAlignment="1" applyProtection="1">
      <alignment horizontal="right" vertical="center"/>
    </xf>
    <xf numFmtId="0" fontId="0" fillId="10" borderId="0" xfId="0" applyFill="1" applyBorder="1" applyAlignment="1" applyProtection="1">
      <alignment horizontal="right" vertical="center"/>
    </xf>
    <xf numFmtId="0" fontId="2" fillId="2" borderId="30" xfId="2" applyBorder="1" applyAlignment="1" applyProtection="1">
      <alignment vertical="center"/>
    </xf>
    <xf numFmtId="0" fontId="2" fillId="10" borderId="0" xfId="2" applyFill="1" applyBorder="1" applyAlignment="1" applyProtection="1">
      <alignment horizontal="right" vertical="center"/>
    </xf>
    <xf numFmtId="0" fontId="2" fillId="10" borderId="0" xfId="2" applyFill="1" applyBorder="1" applyAlignment="1" applyProtection="1">
      <alignment horizontal="center" vertical="center"/>
    </xf>
    <xf numFmtId="0" fontId="2" fillId="2" borderId="30" xfId="2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right" vertical="center"/>
    </xf>
    <xf numFmtId="0" fontId="0" fillId="10" borderId="21" xfId="0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 vertical="center"/>
    </xf>
    <xf numFmtId="0" fontId="0" fillId="10" borderId="21" xfId="0" applyFill="1" applyBorder="1" applyAlignment="1" applyProtection="1">
      <alignment horizontal="left" vertical="center"/>
    </xf>
    <xf numFmtId="0" fontId="0" fillId="0" borderId="29" xfId="0" applyBorder="1" applyAlignment="1" applyProtection="1">
      <alignment horizontal="right" vertical="center"/>
    </xf>
    <xf numFmtId="0" fontId="0" fillId="10" borderId="26" xfId="0" applyFill="1" applyBorder="1" applyAlignment="1" applyProtection="1">
      <alignment vertical="center"/>
    </xf>
    <xf numFmtId="0" fontId="0" fillId="10" borderId="27" xfId="0" applyFill="1" applyBorder="1" applyAlignment="1" applyProtection="1">
      <alignment horizontal="right" vertical="center"/>
    </xf>
    <xf numFmtId="0" fontId="2" fillId="2" borderId="31" xfId="2" applyBorder="1" applyAlignment="1" applyProtection="1">
      <alignment vertical="center"/>
    </xf>
    <xf numFmtId="0" fontId="2" fillId="10" borderId="0" xfId="2" applyFill="1" applyBorder="1" applyAlignment="1" applyProtection="1">
      <alignment vertical="center"/>
    </xf>
    <xf numFmtId="0" fontId="2" fillId="2" borderId="31" xfId="2" applyBorder="1" applyAlignment="1" applyProtection="1">
      <alignment horizontal="center" vertical="center"/>
    </xf>
    <xf numFmtId="0" fontId="0" fillId="10" borderId="28" xfId="0" applyFill="1" applyBorder="1" applyAlignment="1" applyProtection="1">
      <alignment horizontal="right" vertical="center"/>
    </xf>
    <xf numFmtId="0" fontId="0" fillId="10" borderId="6" xfId="0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vertical="center"/>
    </xf>
    <xf numFmtId="0" fontId="0" fillId="10" borderId="18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10" borderId="18" xfId="0" applyFill="1" applyBorder="1" applyAlignment="1" applyProtection="1">
      <alignment horizontal="left" vertical="center"/>
    </xf>
    <xf numFmtId="0" fontId="0" fillId="10" borderId="23" xfId="0" applyFill="1" applyBorder="1" applyAlignment="1" applyProtection="1">
      <alignment vertical="center"/>
    </xf>
    <xf numFmtId="0" fontId="0" fillId="10" borderId="41" xfId="0" applyFill="1" applyBorder="1" applyAlignment="1" applyProtection="1">
      <alignment horizontal="right" vertical="center"/>
    </xf>
    <xf numFmtId="0" fontId="0" fillId="10" borderId="3" xfId="0" applyFill="1" applyBorder="1" applyAlignment="1" applyProtection="1">
      <alignment horizontal="right" vertical="center"/>
    </xf>
    <xf numFmtId="0" fontId="2" fillId="2" borderId="3" xfId="2" applyBorder="1" applyAlignment="1" applyProtection="1">
      <alignment vertical="center"/>
    </xf>
    <xf numFmtId="0" fontId="0" fillId="10" borderId="3" xfId="0" applyFill="1" applyBorder="1" applyProtection="1"/>
    <xf numFmtId="0" fontId="2" fillId="2" borderId="3" xfId="2" applyBorder="1" applyAlignment="1" applyProtection="1">
      <alignment horizontal="center" vertical="center"/>
    </xf>
    <xf numFmtId="0" fontId="2" fillId="10" borderId="3" xfId="2" applyFill="1" applyBorder="1" applyAlignment="1" applyProtection="1">
      <alignment vertical="center"/>
    </xf>
    <xf numFmtId="0" fontId="0" fillId="10" borderId="3" xfId="0" applyFill="1" applyBorder="1" applyAlignment="1" applyProtection="1">
      <alignment vertical="center"/>
    </xf>
    <xf numFmtId="0" fontId="3" fillId="10" borderId="6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10" borderId="25" xfId="0" applyFill="1" applyBorder="1" applyAlignment="1" applyProtection="1">
      <alignment vertical="center"/>
    </xf>
    <xf numFmtId="0" fontId="2" fillId="10" borderId="2" xfId="2" applyFill="1" applyBorder="1" applyAlignment="1" applyProtection="1">
      <alignment horizontal="right" vertical="center"/>
    </xf>
    <xf numFmtId="0" fontId="2" fillId="10" borderId="2" xfId="2" applyFill="1" applyBorder="1" applyAlignment="1" applyProtection="1">
      <alignment vertical="center"/>
    </xf>
    <xf numFmtId="0" fontId="0" fillId="10" borderId="2" xfId="0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horizontal="left" vertical="center"/>
    </xf>
    <xf numFmtId="0" fontId="0" fillId="10" borderId="14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8" fillId="7" borderId="0" xfId="0" applyFont="1" applyFill="1" applyBorder="1" applyAlignment="1" applyProtection="1">
      <alignment vertical="center"/>
    </xf>
    <xf numFmtId="0" fontId="17" fillId="7" borderId="0" xfId="0" applyFont="1" applyFill="1" applyBorder="1" applyAlignment="1" applyProtection="1">
      <alignment vertical="center"/>
    </xf>
    <xf numFmtId="0" fontId="0" fillId="7" borderId="0" xfId="0" applyFill="1" applyBorder="1" applyAlignment="1" applyProtection="1"/>
    <xf numFmtId="0" fontId="0" fillId="7" borderId="0" xfId="0" applyFill="1" applyBorder="1" applyAlignment="1" applyProtection="1">
      <alignment vertical="top"/>
    </xf>
    <xf numFmtId="0" fontId="0" fillId="7" borderId="0" xfId="0" applyFill="1" applyBorder="1" applyAlignment="1" applyProtection="1">
      <alignment vertical="center"/>
    </xf>
    <xf numFmtId="0" fontId="0" fillId="0" borderId="0" xfId="0" applyProtection="1">
      <protection hidden="1"/>
    </xf>
    <xf numFmtId="0" fontId="42" fillId="0" borderId="0" xfId="0" applyFont="1" applyAlignment="1" applyProtection="1">
      <alignment horizontal="right"/>
      <protection hidden="1"/>
    </xf>
    <xf numFmtId="0" fontId="42" fillId="0" borderId="0" xfId="0" applyFont="1" applyProtection="1">
      <protection hidden="1"/>
    </xf>
    <xf numFmtId="0" fontId="42" fillId="18" borderId="0" xfId="0" applyFont="1" applyFill="1" applyProtection="1">
      <protection hidden="1"/>
    </xf>
    <xf numFmtId="0" fontId="42" fillId="19" borderId="0" xfId="0" applyFont="1" applyFill="1" applyProtection="1">
      <protection hidden="1"/>
    </xf>
    <xf numFmtId="0" fontId="42" fillId="17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horizontal="right"/>
      <protection hidden="1"/>
    </xf>
    <xf numFmtId="0" fontId="43" fillId="18" borderId="0" xfId="0" applyFont="1" applyFill="1" applyProtection="1">
      <protection hidden="1"/>
    </xf>
    <xf numFmtId="0" fontId="43" fillId="19" borderId="0" xfId="0" applyFont="1" applyFill="1" applyProtection="1">
      <protection hidden="1"/>
    </xf>
    <xf numFmtId="0" fontId="43" fillId="17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16" borderId="0" xfId="0" applyFill="1" applyProtection="1">
      <protection hidden="1"/>
    </xf>
    <xf numFmtId="0" fontId="0" fillId="14" borderId="0" xfId="0" applyFill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15" borderId="0" xfId="0" applyFill="1" applyAlignment="1" applyProtection="1">
      <alignment horizontal="center"/>
      <protection hidden="1"/>
    </xf>
    <xf numFmtId="0" fontId="3" fillId="15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15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2" fillId="0" borderId="0" xfId="0" applyFont="1" applyAlignment="1" applyProtection="1">
      <alignment wrapText="1"/>
      <protection hidden="1"/>
    </xf>
    <xf numFmtId="0" fontId="0" fillId="10" borderId="0" xfId="0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5" fillId="0" borderId="0" xfId="0" applyFont="1" applyBorder="1" applyProtection="1">
      <protection hidden="1"/>
    </xf>
    <xf numFmtId="9" fontId="0" fillId="0" borderId="0" xfId="3" applyFont="1" applyBorder="1" applyProtection="1"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0" fontId="3" fillId="15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17" xfId="0" applyFont="1" applyBorder="1" applyAlignment="1" applyProtection="1">
      <alignment vertical="center" wrapText="1"/>
      <protection hidden="1"/>
    </xf>
    <xf numFmtId="166" fontId="0" fillId="0" borderId="0" xfId="0" applyNumberFormat="1" applyProtection="1">
      <protection hidden="1"/>
    </xf>
    <xf numFmtId="0" fontId="26" fillId="15" borderId="0" xfId="0" applyFont="1" applyFill="1" applyBorder="1" applyAlignment="1" applyProtection="1">
      <alignment horizontal="center"/>
      <protection hidden="1"/>
    </xf>
    <xf numFmtId="9" fontId="3" fillId="0" borderId="0" xfId="0" applyNumberFormat="1" applyFont="1" applyBorder="1" applyAlignment="1" applyProtection="1">
      <alignment vertical="center" wrapText="1"/>
      <protection hidden="1"/>
    </xf>
    <xf numFmtId="0" fontId="8" fillId="0" borderId="9" xfId="0" applyFont="1" applyBorder="1" applyProtection="1">
      <protection hidden="1"/>
    </xf>
    <xf numFmtId="0" fontId="34" fillId="15" borderId="0" xfId="0" applyFont="1" applyFill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9" fontId="8" fillId="0" borderId="0" xfId="3" applyFont="1" applyBorder="1" applyProtection="1">
      <protection hidden="1"/>
    </xf>
    <xf numFmtId="165" fontId="8" fillId="0" borderId="0" xfId="1" applyNumberFormat="1" applyFont="1" applyBorder="1" applyProtection="1">
      <protection hidden="1"/>
    </xf>
    <xf numFmtId="0" fontId="33" fillId="0" borderId="17" xfId="0" applyFont="1" applyBorder="1" applyProtection="1">
      <protection hidden="1"/>
    </xf>
    <xf numFmtId="0" fontId="32" fillId="0" borderId="9" xfId="0" applyFont="1" applyFill="1" applyBorder="1" applyProtection="1"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9" fontId="32" fillId="0" borderId="0" xfId="3" applyFont="1" applyBorder="1" applyProtection="1">
      <protection hidden="1"/>
    </xf>
    <xf numFmtId="165" fontId="32" fillId="0" borderId="0" xfId="1" applyNumberFormat="1" applyFont="1" applyBorder="1" applyProtection="1">
      <protection hidden="1"/>
    </xf>
    <xf numFmtId="0" fontId="27" fillId="0" borderId="0" xfId="0" applyFont="1" applyProtection="1">
      <protection hidden="1"/>
    </xf>
    <xf numFmtId="0" fontId="32" fillId="0" borderId="0" xfId="0" applyFont="1" applyFill="1" applyBorder="1" applyProtection="1">
      <protection hidden="1"/>
    </xf>
    <xf numFmtId="0" fontId="32" fillId="0" borderId="0" xfId="0" applyFont="1" applyProtection="1">
      <protection hidden="1"/>
    </xf>
    <xf numFmtId="0" fontId="27" fillId="0" borderId="9" xfId="0" applyFont="1" applyFill="1" applyBorder="1" applyProtection="1"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Border="1" applyAlignment="1" applyProtection="1">
      <alignment horizontal="center"/>
      <protection hidden="1"/>
    </xf>
    <xf numFmtId="9" fontId="27" fillId="0" borderId="0" xfId="3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0" fontId="28" fillId="0" borderId="17" xfId="0" applyFont="1" applyBorder="1" applyProtection="1">
      <protection hidden="1"/>
    </xf>
    <xf numFmtId="0" fontId="27" fillId="0" borderId="34" xfId="0" applyFont="1" applyFill="1" applyBorder="1" applyProtection="1">
      <protection hidden="1"/>
    </xf>
    <xf numFmtId="0" fontId="3" fillId="0" borderId="7" xfId="0" applyFont="1" applyBorder="1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0" fillId="10" borderId="0" xfId="0" applyFill="1" applyBorder="1" applyAlignment="1" applyProtection="1">
      <alignment horizontal="right" vertical="center"/>
      <protection hidden="1"/>
    </xf>
    <xf numFmtId="0" fontId="3" fillId="9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 wrapText="1"/>
    </xf>
    <xf numFmtId="0" fontId="3" fillId="12" borderId="0" xfId="0" applyFont="1" applyFill="1" applyBorder="1" applyAlignment="1" applyProtection="1">
      <alignment horizontal="center" vertical="center" wrapText="1"/>
    </xf>
    <xf numFmtId="0" fontId="40" fillId="11" borderId="0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left" vertical="center"/>
    </xf>
    <xf numFmtId="0" fontId="0" fillId="10" borderId="0" xfId="0" applyFill="1" applyBorder="1" applyAlignment="1" applyProtection="1">
      <alignment horizontal="left" vertical="center"/>
    </xf>
    <xf numFmtId="0" fontId="11" fillId="10" borderId="0" xfId="0" applyFont="1" applyFill="1" applyBorder="1" applyAlignment="1" applyProtection="1">
      <alignment horizontal="left" vertical="center"/>
    </xf>
    <xf numFmtId="0" fontId="50" fillId="10" borderId="0" xfId="0" applyFont="1" applyFill="1" applyBorder="1" applyAlignment="1" applyProtection="1">
      <alignment horizontal="center" vertical="center"/>
    </xf>
    <xf numFmtId="0" fontId="52" fillId="10" borderId="0" xfId="0" applyFont="1" applyFill="1" applyBorder="1" applyAlignment="1" applyProtection="1">
      <alignment horizontal="center" vertical="center"/>
    </xf>
    <xf numFmtId="2" fontId="52" fillId="10" borderId="0" xfId="0" applyNumberFormat="1" applyFont="1" applyFill="1" applyBorder="1" applyAlignment="1" applyProtection="1">
      <alignment horizontal="center" vertical="center"/>
    </xf>
    <xf numFmtId="168" fontId="2" fillId="2" borderId="37" xfId="2" applyNumberFormat="1" applyBorder="1" applyAlignment="1" applyProtection="1">
      <alignment horizontal="center" vertical="center"/>
    </xf>
    <xf numFmtId="168" fontId="2" fillId="2" borderId="1" xfId="2" applyNumberFormat="1" applyAlignment="1" applyProtection="1">
      <alignment horizontal="center" vertical="center"/>
    </xf>
    <xf numFmtId="168" fontId="2" fillId="2" borderId="1" xfId="2" applyNumberFormat="1" applyBorder="1" applyAlignment="1" applyProtection="1">
      <alignment horizontal="center" vertical="center"/>
    </xf>
    <xf numFmtId="168" fontId="2" fillId="2" borderId="11" xfId="2" applyNumberFormat="1" applyBorder="1" applyAlignment="1" applyProtection="1">
      <alignment horizontal="center" vertical="center"/>
    </xf>
    <xf numFmtId="168" fontId="2" fillId="2" borderId="12" xfId="2" applyNumberFormat="1" applyBorder="1" applyAlignment="1" applyProtection="1">
      <alignment horizontal="center" vertical="center"/>
    </xf>
    <xf numFmtId="0" fontId="53" fillId="9" borderId="8" xfId="0" applyFont="1" applyFill="1" applyBorder="1" applyAlignment="1" applyProtection="1">
      <alignment horizontal="center" vertical="center" wrapText="1"/>
    </xf>
    <xf numFmtId="0" fontId="54" fillId="9" borderId="8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8" fillId="0" borderId="17" xfId="0" applyFont="1" applyFill="1" applyBorder="1" applyAlignment="1" applyProtection="1">
      <alignment vertical="center"/>
      <protection hidden="1"/>
    </xf>
    <xf numFmtId="0" fontId="49" fillId="0" borderId="0" xfId="0" applyFont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3" xfId="0" applyFill="1" applyBorder="1" applyAlignment="1" applyProtection="1">
      <alignment horizontal="right" vertical="center" indent="1"/>
      <protection hidden="1"/>
    </xf>
    <xf numFmtId="2" fontId="0" fillId="0" borderId="13" xfId="0" applyNumberFormat="1" applyFill="1" applyBorder="1" applyAlignment="1" applyProtection="1">
      <alignment vertical="center"/>
      <protection hidden="1"/>
    </xf>
    <xf numFmtId="0" fontId="0" fillId="0" borderId="8" xfId="0" applyBorder="1" applyProtection="1"/>
    <xf numFmtId="0" fontId="0" fillId="0" borderId="43" xfId="0" applyBorder="1" applyProtection="1"/>
    <xf numFmtId="0" fontId="0" fillId="0" borderId="0" xfId="0" applyBorder="1" applyProtection="1"/>
    <xf numFmtId="0" fontId="0" fillId="0" borderId="17" xfId="0" applyBorder="1" applyProtection="1"/>
    <xf numFmtId="0" fontId="3" fillId="0" borderId="0" xfId="0" applyFont="1" applyBorder="1" applyAlignment="1" applyProtection="1">
      <alignment vertical="center" wrapText="1"/>
    </xf>
    <xf numFmtId="0" fontId="0" fillId="0" borderId="34" xfId="0" applyBorder="1" applyProtection="1"/>
    <xf numFmtId="0" fontId="0" fillId="0" borderId="13" xfId="0" applyBorder="1" applyProtection="1"/>
    <xf numFmtId="0" fontId="0" fillId="0" borderId="44" xfId="0" applyBorder="1" applyProtection="1"/>
    <xf numFmtId="0" fontId="3" fillId="0" borderId="0" xfId="0" applyFont="1" applyBorder="1" applyAlignment="1">
      <alignment vertical="center" wrapText="1"/>
    </xf>
    <xf numFmtId="166" fontId="35" fillId="0" borderId="0" xfId="1" applyNumberFormat="1" applyFont="1" applyBorder="1" applyProtection="1">
      <protection hidden="1"/>
    </xf>
    <xf numFmtId="169" fontId="49" fillId="0" borderId="17" xfId="0" applyNumberFormat="1" applyFont="1" applyBorder="1" applyAlignment="1" applyProtection="1">
      <alignment horizontal="center"/>
      <protection hidden="1"/>
    </xf>
    <xf numFmtId="165" fontId="8" fillId="17" borderId="0" xfId="1" applyNumberFormat="1" applyFont="1" applyFill="1" applyBorder="1"/>
    <xf numFmtId="0" fontId="51" fillId="10" borderId="0" xfId="0" applyFont="1" applyFill="1" applyBorder="1" applyAlignment="1" applyProtection="1">
      <alignment horizontal="left" vertical="center" wrapText="1"/>
    </xf>
    <xf numFmtId="0" fontId="51" fillId="10" borderId="14" xfId="0" applyFont="1" applyFill="1" applyBorder="1" applyAlignment="1" applyProtection="1">
      <alignment horizontal="left" vertical="center" wrapText="1"/>
    </xf>
    <xf numFmtId="0" fontId="48" fillId="20" borderId="0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/>
    </xf>
    <xf numFmtId="0" fontId="37" fillId="2" borderId="16" xfId="2" applyFont="1" applyBorder="1" applyAlignment="1" applyProtection="1">
      <alignment horizontal="center" vertical="center" wrapText="1"/>
    </xf>
    <xf numFmtId="0" fontId="37" fillId="2" borderId="17" xfId="2" applyFont="1" applyBorder="1" applyAlignment="1" applyProtection="1">
      <alignment horizontal="center" vertical="center" wrapText="1"/>
    </xf>
    <xf numFmtId="0" fontId="15" fillId="15" borderId="0" xfId="0" applyFont="1" applyFill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right" vertical="center"/>
    </xf>
    <xf numFmtId="0" fontId="0" fillId="10" borderId="15" xfId="0" applyFill="1" applyBorder="1" applyAlignment="1" applyProtection="1">
      <alignment horizontal="center" vertical="center" wrapText="1"/>
    </xf>
    <xf numFmtId="0" fontId="0" fillId="10" borderId="13" xfId="0" applyFill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/>
    </xf>
    <xf numFmtId="0" fontId="15" fillId="15" borderId="2" xfId="0" applyFont="1" applyFill="1" applyBorder="1" applyAlignment="1" applyProtection="1">
      <alignment horizontal="left"/>
      <protection locked="0"/>
    </xf>
    <xf numFmtId="49" fontId="30" fillId="0" borderId="24" xfId="0" applyNumberFormat="1" applyFont="1" applyFill="1" applyBorder="1" applyAlignment="1" applyProtection="1">
      <alignment horizontal="center" vertical="center" textRotation="180"/>
    </xf>
    <xf numFmtId="49" fontId="30" fillId="0" borderId="0" xfId="0" applyNumberFormat="1" applyFont="1" applyFill="1" applyBorder="1" applyAlignment="1" applyProtection="1">
      <alignment horizontal="center" vertical="center" textRotation="180"/>
    </xf>
    <xf numFmtId="49" fontId="30" fillId="0" borderId="14" xfId="0" applyNumberFormat="1" applyFont="1" applyFill="1" applyBorder="1" applyAlignment="1" applyProtection="1">
      <alignment horizontal="center" vertical="center" textRotation="180"/>
    </xf>
    <xf numFmtId="0" fontId="20" fillId="10" borderId="0" xfId="0" applyNumberFormat="1" applyFont="1" applyFill="1" applyBorder="1" applyAlignment="1" applyProtection="1">
      <alignment horizontal="right" vertical="top" textRotation="180" wrapText="1"/>
    </xf>
    <xf numFmtId="0" fontId="38" fillId="2" borderId="39" xfId="2" applyFont="1" applyBorder="1" applyAlignment="1" applyProtection="1">
      <alignment horizontal="center" vertical="center" wrapText="1"/>
    </xf>
    <xf numFmtId="0" fontId="38" fillId="2" borderId="40" xfId="2" applyFont="1" applyBorder="1" applyAlignment="1" applyProtection="1">
      <alignment horizontal="center" vertical="center" wrapText="1"/>
    </xf>
    <xf numFmtId="0" fontId="36" fillId="0" borderId="29" xfId="0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right" vertical="center"/>
    </xf>
    <xf numFmtId="0" fontId="40" fillId="10" borderId="15" xfId="0" applyFont="1" applyFill="1" applyBorder="1" applyAlignment="1" applyProtection="1">
      <alignment horizontal="center" vertical="center" wrapText="1"/>
    </xf>
    <xf numFmtId="0" fontId="40" fillId="10" borderId="0" xfId="0" applyFont="1" applyFill="1" applyBorder="1" applyAlignment="1" applyProtection="1">
      <alignment horizontal="center" vertical="center" wrapText="1"/>
    </xf>
    <xf numFmtId="0" fontId="40" fillId="10" borderId="14" xfId="0" applyFont="1" applyFill="1" applyBorder="1" applyAlignment="1" applyProtection="1">
      <alignment horizontal="center" vertical="center" wrapText="1"/>
    </xf>
    <xf numFmtId="0" fontId="41" fillId="15" borderId="0" xfId="0" applyFont="1" applyFill="1" applyBorder="1" applyAlignment="1" applyProtection="1">
      <alignment horizontal="left" vertical="center"/>
    </xf>
    <xf numFmtId="0" fontId="41" fillId="15" borderId="14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36" fillId="0" borderId="15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27" xfId="0" applyFont="1" applyBorder="1" applyAlignment="1" applyProtection="1">
      <alignment horizontal="center" vertical="center"/>
    </xf>
    <xf numFmtId="0" fontId="36" fillId="0" borderId="3" xfId="0" applyFon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right" vertical="center" indent="2"/>
    </xf>
    <xf numFmtId="0" fontId="0" fillId="0" borderId="33" xfId="0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21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 readingOrder="1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5" fillId="10" borderId="46" xfId="0" applyFont="1" applyFill="1" applyBorder="1" applyAlignment="1" applyProtection="1">
      <alignment horizontal="left"/>
    </xf>
    <xf numFmtId="0" fontId="55" fillId="0" borderId="45" xfId="0" applyFont="1" applyFill="1" applyBorder="1" applyAlignment="1" applyProtection="1">
      <alignment horizontal="center" vertical="center" wrapText="1"/>
    </xf>
  </cellXfs>
  <cellStyles count="4">
    <cellStyle name="Berechnung" xfId="2" builtinId="22"/>
    <cellStyle name="Komma" xfId="1" builtinId="3"/>
    <cellStyle name="Prozent" xfId="3" builtinId="5"/>
    <cellStyle name="Standard" xfId="0" builtinId="0"/>
  </cellStyles>
  <dxfs count="411"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55C3D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55C3D"/>
      <color rgb="FFDBEBD1"/>
      <color rgb="FFFFFBEF"/>
      <color rgb="FFFF7C80"/>
      <color rgb="FFFBD9F9"/>
      <color rgb="FFF7B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239485</xdr:colOff>
      <xdr:row>47</xdr:row>
      <xdr:rowOff>163287</xdr:rowOff>
    </xdr:from>
    <xdr:to>
      <xdr:col>15</xdr:col>
      <xdr:colOff>2677885</xdr:colOff>
      <xdr:row>69</xdr:row>
      <xdr:rowOff>136071</xdr:rowOff>
    </xdr:to>
    <xdr:sp macro="" textlink="">
      <xdr:nvSpPr>
        <xdr:cNvPr id="2" name="Textfeld 1"/>
        <xdr:cNvSpPr txBox="1"/>
      </xdr:nvSpPr>
      <xdr:spPr>
        <a:xfrm>
          <a:off x="10707914" y="12418787"/>
          <a:ext cx="2438400" cy="4200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Wichtige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Regeln für den Dateinamen: </a:t>
          </a:r>
        </a:p>
        <a:p>
          <a:endParaRPr lang="de-DE" sz="1100"/>
        </a:p>
        <a:p>
          <a:r>
            <a:rPr lang="de-DE" sz="1100"/>
            <a:t>Die </a:t>
          </a:r>
          <a:r>
            <a:rPr lang="de-DE" sz="1100">
              <a:solidFill>
                <a:srgbClr val="00B0F0"/>
              </a:solidFill>
            </a:rPr>
            <a:t>ersten "JJJJMMTT" sind das Datum der ERSTeinreichung.</a:t>
          </a:r>
        </a:p>
        <a:p>
          <a:endParaRPr lang="de-DE" sz="1100"/>
        </a:p>
        <a:p>
          <a:r>
            <a:rPr lang="de-DE" sz="1100"/>
            <a:t>"_MBtMSc_" ist ein statische Element. </a:t>
          </a:r>
        </a:p>
        <a:p>
          <a:endParaRPr lang="de-DE" sz="1100"/>
        </a:p>
        <a:p>
          <a:r>
            <a:rPr lang="de-DE" sz="1100"/>
            <a:t>NN.VN für Nachname.Vorname. </a:t>
          </a:r>
        </a:p>
        <a:p>
          <a:endParaRPr lang="de-DE" sz="1100"/>
        </a:p>
        <a:p>
          <a:r>
            <a:rPr lang="de-DE" sz="1100"/>
            <a:t>"_ver." wiederum ein statisches Element ("Version des S-Plans")</a:t>
          </a:r>
        </a:p>
        <a:p>
          <a:endParaRPr lang="de-DE" sz="1100"/>
        </a:p>
        <a:p>
          <a:r>
            <a:rPr lang="de-DE" sz="1100"/>
            <a:t>"</a:t>
          </a:r>
          <a:r>
            <a:rPr lang="de-DE" sz="1100">
              <a:solidFill>
                <a:srgbClr val="00B0F0"/>
              </a:solidFill>
            </a:rPr>
            <a:t>JJJJMMTT" für das Datum einer jeweiligen Änderung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also dem neuen Einreichdatum (S-Plan-Version)</a:t>
          </a:r>
          <a:r>
            <a:rPr lang="de-DE" sz="1100"/>
            <a:t>.</a:t>
          </a:r>
        </a:p>
        <a:p>
          <a:endParaRPr lang="de-DE" sz="1100"/>
        </a:p>
        <a:p>
          <a:r>
            <a:rPr lang="de-DE" sz="1100"/>
            <a:t>Also z. B.</a:t>
          </a:r>
        </a:p>
        <a:p>
          <a:r>
            <a:rPr lang="de-DE" sz="1400">
              <a:solidFill>
                <a:srgbClr val="00B0F0"/>
              </a:solidFill>
            </a:rPr>
            <a:t>20221005_MBtMSc_Darwin.Charles</a:t>
          </a:r>
          <a:r>
            <a:rPr lang="de-DE" sz="1400" baseline="0">
              <a:solidFill>
                <a:srgbClr val="00B0F0"/>
              </a:solidFill>
            </a:rPr>
            <a:t>_ver.20230517</a:t>
          </a:r>
        </a:p>
        <a:p>
          <a:endParaRPr lang="de-DE" sz="1100" baseline="0"/>
        </a:p>
        <a:p>
          <a:r>
            <a:rPr lang="de-DE" sz="1100" baseline="0"/>
            <a:t>und später dann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Also z. B.</a:t>
          </a:r>
          <a:endParaRPr lang="de-DE">
            <a:effectLst/>
          </a:endParaRPr>
        </a:p>
        <a:p>
          <a:r>
            <a:rPr lang="de-DE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20221005_MBtMSc_Darwin</a:t>
          </a:r>
          <a:r>
            <a:rPr lang="de-DE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.Charles_ver.</a:t>
          </a:r>
          <a:r>
            <a:rPr lang="de-DE" sz="1400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20240108</a:t>
          </a:r>
          <a:endParaRPr lang="de-DE" sz="1100" baseline="0"/>
        </a:p>
        <a:p>
          <a:endParaRPr lang="de-DE" sz="1100" baseline="0"/>
        </a:p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304800</xdr:colOff>
      <xdr:row>27</xdr:row>
      <xdr:rowOff>313706</xdr:rowOff>
    </xdr:from>
    <xdr:to>
      <xdr:col>20</xdr:col>
      <xdr:colOff>196966</xdr:colOff>
      <xdr:row>30</xdr:row>
      <xdr:rowOff>76930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0" y="5251466"/>
          <a:ext cx="2385060" cy="5333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%20Scharmann\Documents\!Studienpl&#228;ne\Documents\AppData\Local\Microsoft\Windows\INetCache\Content.Outlook\BCV7S1EH\Kontolle_Falk_Lisa_20210818e_&#252;berarbeit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20829_MBtMSc_NN.VN_ver.20220829%20-%20Weiterentwickl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sOff_Basis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F75"/>
  <sheetViews>
    <sheetView showGridLines="0" tabSelected="1" topLeftCell="C1" zoomScale="85" zoomScaleNormal="85" workbookViewId="0">
      <selection activeCell="P3" sqref="P3"/>
    </sheetView>
  </sheetViews>
  <sheetFormatPr baseColWidth="10" defaultColWidth="11.54296875" defaultRowHeight="14.5" x14ac:dyDescent="0.35"/>
  <cols>
    <col min="1" max="1" width="2.1796875" style="52" customWidth="1"/>
    <col min="2" max="2" width="3" style="65" customWidth="1"/>
    <col min="3" max="3" width="1.81640625" style="205" customWidth="1"/>
    <col min="4" max="4" width="42.6328125" style="65" customWidth="1"/>
    <col min="5" max="7" width="6.81640625" style="65" customWidth="1"/>
    <col min="8" max="8" width="8.90625" style="65" customWidth="1"/>
    <col min="9" max="9" width="1.453125" style="65" customWidth="1"/>
    <col min="10" max="10" width="42.6328125" style="65" customWidth="1"/>
    <col min="11" max="13" width="6.81640625" style="112" customWidth="1"/>
    <col min="14" max="14" width="8" style="112" customWidth="1"/>
    <col min="15" max="15" width="1.1796875" style="112" customWidth="1"/>
    <col min="16" max="16" width="42.6328125" style="112" customWidth="1"/>
    <col min="17" max="19" width="6.81640625" style="112" customWidth="1"/>
    <col min="20" max="20" width="8.81640625" style="112" customWidth="1"/>
    <col min="21" max="21" width="10.81640625" style="27" customWidth="1"/>
    <col min="22" max="22" width="2.453125" style="112" customWidth="1"/>
    <col min="23" max="23" width="42.6328125" style="65" customWidth="1"/>
    <col min="24" max="26" width="6.81640625" style="65" customWidth="1"/>
    <col min="27" max="27" width="8.08984375" style="65" customWidth="1"/>
    <col min="28" max="28" width="2.08984375" style="35" customWidth="1"/>
    <col min="29" max="16384" width="11.54296875" style="65"/>
  </cols>
  <sheetData>
    <row r="1" spans="1:58" s="32" customFormat="1" ht="37.5" customHeight="1" thickTop="1" thickBot="1" x14ac:dyDescent="0.65">
      <c r="A1" s="31" t="s">
        <v>239</v>
      </c>
      <c r="E1" s="31"/>
      <c r="O1" s="368"/>
      <c r="P1" s="371" t="s">
        <v>255</v>
      </c>
      <c r="Q1" s="369"/>
      <c r="R1" s="33"/>
      <c r="S1" s="33"/>
      <c r="T1" s="33"/>
      <c r="U1" s="33"/>
      <c r="V1" s="34" t="s">
        <v>38</v>
      </c>
      <c r="W1" s="1">
        <v>44901</v>
      </c>
      <c r="Y1" s="348" t="str">
        <f>D3 &amp; " " &amp;J3</f>
        <v>NN VN</v>
      </c>
      <c r="Z1" s="348"/>
      <c r="AA1" s="348"/>
      <c r="AB1" s="206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</row>
    <row r="2" spans="1:58" s="36" customFormat="1" ht="15.65" customHeight="1" thickTop="1" x14ac:dyDescent="0.35">
      <c r="C2" s="37" t="s">
        <v>194</v>
      </c>
      <c r="E2" s="37"/>
      <c r="F2" s="37"/>
      <c r="G2" s="37"/>
      <c r="J2" s="38" t="s">
        <v>37</v>
      </c>
      <c r="N2" s="39"/>
      <c r="O2" s="39"/>
      <c r="P2" s="367"/>
      <c r="Q2" s="40"/>
      <c r="R2" s="40"/>
      <c r="S2" s="40"/>
      <c r="T2" s="40"/>
      <c r="U2" s="40"/>
      <c r="V2" s="41"/>
      <c r="W2" s="42" t="s">
        <v>39</v>
      </c>
      <c r="Y2" s="348"/>
      <c r="Z2" s="348"/>
      <c r="AA2" s="348"/>
      <c r="AB2" s="207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</row>
    <row r="3" spans="1:58" s="43" customFormat="1" ht="34.75" customHeight="1" thickBot="1" x14ac:dyDescent="0.65">
      <c r="D3" s="338" t="s">
        <v>152</v>
      </c>
      <c r="E3" s="338"/>
      <c r="F3" s="338"/>
      <c r="G3" s="338"/>
      <c r="H3" s="338"/>
      <c r="I3" s="44"/>
      <c r="J3" s="344" t="s">
        <v>153</v>
      </c>
      <c r="K3" s="344"/>
      <c r="L3" s="344"/>
      <c r="M3" s="370"/>
      <c r="P3" s="2" t="s">
        <v>154</v>
      </c>
      <c r="R3" s="329" t="s">
        <v>238</v>
      </c>
      <c r="S3" s="329"/>
      <c r="T3" s="329"/>
      <c r="U3" s="294">
        <f>H36+N36+T36+AA36+H47+T47</f>
        <v>108</v>
      </c>
      <c r="V3" s="291"/>
      <c r="W3" s="3" t="s">
        <v>41</v>
      </c>
      <c r="X3" s="45"/>
      <c r="Y3" s="348"/>
      <c r="Z3" s="348"/>
      <c r="AA3" s="348"/>
      <c r="AB3" s="208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58" s="47" customFormat="1" ht="15" customHeight="1" x14ac:dyDescent="0.35">
      <c r="D4" s="48" t="s">
        <v>178</v>
      </c>
      <c r="E4" s="48"/>
      <c r="F4" s="48"/>
      <c r="G4" s="49"/>
      <c r="I4" s="48" t="s">
        <v>179</v>
      </c>
      <c r="J4" s="48"/>
      <c r="K4" s="48"/>
      <c r="L4" s="48"/>
      <c r="M4" s="49"/>
      <c r="P4" s="48" t="s">
        <v>187</v>
      </c>
      <c r="R4" s="292"/>
      <c r="S4" s="292"/>
      <c r="T4" s="292"/>
      <c r="U4" s="295"/>
      <c r="V4" s="293"/>
      <c r="W4" s="50" t="s">
        <v>192</v>
      </c>
      <c r="Y4" s="348"/>
      <c r="Z4" s="348"/>
      <c r="AA4" s="348"/>
      <c r="AB4" s="209"/>
      <c r="AC4" s="51"/>
      <c r="AD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</row>
    <row r="5" spans="1:58" s="52" customFormat="1" ht="31.75" customHeight="1" x14ac:dyDescent="0.6">
      <c r="D5" s="4" t="s">
        <v>109</v>
      </c>
      <c r="E5" s="45"/>
      <c r="F5" s="45"/>
      <c r="G5" s="45"/>
      <c r="H5" s="43"/>
      <c r="J5" s="344" t="s">
        <v>71</v>
      </c>
      <c r="K5" s="344"/>
      <c r="L5" s="344"/>
      <c r="M5" s="45"/>
      <c r="P5" s="5"/>
      <c r="R5" s="329" t="s">
        <v>237</v>
      </c>
      <c r="S5" s="329"/>
      <c r="T5" s="329"/>
      <c r="U5" s="295">
        <f>HandsOff_Notenschnitt!J42</f>
        <v>35</v>
      </c>
      <c r="V5" s="292"/>
      <c r="W5" s="6"/>
      <c r="X5" s="53"/>
      <c r="Y5" s="348"/>
      <c r="Z5" s="348"/>
      <c r="AA5" s="348"/>
      <c r="AB5" s="210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</row>
    <row r="6" spans="1:58" s="47" customFormat="1" ht="42.65" customHeight="1" thickBot="1" x14ac:dyDescent="0.4">
      <c r="C6" s="54"/>
      <c r="D6" s="48" t="s">
        <v>180</v>
      </c>
      <c r="E6" s="48"/>
      <c r="F6" s="48"/>
      <c r="G6" s="49"/>
      <c r="H6" s="55"/>
      <c r="J6" s="50" t="s">
        <v>46</v>
      </c>
      <c r="P6" s="56" t="s">
        <v>70</v>
      </c>
      <c r="R6" s="330" t="s">
        <v>236</v>
      </c>
      <c r="S6" s="330"/>
      <c r="T6" s="330"/>
      <c r="U6" s="296" t="str">
        <f>IF(HandsOff_Notenschnitt!J46=FALSE,"",HandsOff_Notenschnitt!J46)</f>
        <v/>
      </c>
      <c r="V6" s="292"/>
      <c r="W6" s="50" t="s">
        <v>193</v>
      </c>
      <c r="X6" s="48"/>
      <c r="Y6" s="348"/>
      <c r="Z6" s="348"/>
      <c r="AA6" s="348"/>
      <c r="AB6" s="209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</row>
    <row r="7" spans="1:58" ht="16.25" customHeight="1" thickTop="1" x14ac:dyDescent="0.35">
      <c r="B7" s="57" t="s">
        <v>163</v>
      </c>
      <c r="C7" s="58"/>
      <c r="D7" s="59"/>
      <c r="E7" s="59"/>
      <c r="F7" s="59"/>
      <c r="G7" s="59"/>
      <c r="H7" s="59"/>
      <c r="I7" s="60"/>
      <c r="J7" s="57" t="s">
        <v>164</v>
      </c>
      <c r="K7" s="61"/>
      <c r="L7" s="61"/>
      <c r="M7" s="61"/>
      <c r="N7" s="61"/>
      <c r="O7" s="59"/>
      <c r="P7" s="61"/>
      <c r="Q7" s="61"/>
      <c r="R7" s="61"/>
      <c r="S7" s="61"/>
      <c r="T7" s="61"/>
      <c r="U7" s="61"/>
      <c r="V7" s="62"/>
      <c r="W7" s="63" t="s">
        <v>23</v>
      </c>
      <c r="X7" s="64"/>
      <c r="Y7" s="64"/>
      <c r="Z7" s="64"/>
      <c r="AA7" s="64"/>
      <c r="AB7" s="210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</row>
    <row r="8" spans="1:58" ht="30.65" customHeight="1" x14ac:dyDescent="0.35">
      <c r="B8" s="66"/>
      <c r="C8" s="67"/>
      <c r="D8" s="68" t="s">
        <v>186</v>
      </c>
      <c r="E8" s="69"/>
      <c r="F8" s="69"/>
      <c r="G8" s="69"/>
      <c r="H8" s="69"/>
      <c r="I8" s="70"/>
      <c r="J8" s="71" t="str">
        <f>" ZEUGNISRELEVANTE Vertiefung (Theorie-Module) ""VTt"" &gt;= " &amp; HandsOff_Basisdata!C2 &amp; " (- ca. " &amp;HandsOff_Basisdata!E2 &amp;")" &amp; " CPs"</f>
        <v xml:space="preserve"> ZEUGNISRELEVANTE Vertiefung (Theorie-Module) "VTt" &gt;= 12 (- ca. 22) CPs</v>
      </c>
      <c r="K8" s="72"/>
      <c r="L8" s="72"/>
      <c r="M8" s="72"/>
      <c r="N8" s="72"/>
      <c r="O8" s="73"/>
      <c r="P8" s="74" t="str">
        <f xml:space="preserve"> "ZEUGNISRELEVANTE Vertiefung (Praxis Module) ""VTp"": &gt;= " &amp;HandsOff_Basisdata!C3 &amp;" (- ca. " &amp; HandsOff_Basisdata!E3 &amp; ") CPs"</f>
        <v>ZEUGNISRELEVANTE Vertiefung (Praxis Module) "VTp": &gt;= 15 (- ca. 25) CPs</v>
      </c>
      <c r="Q8" s="75"/>
      <c r="R8" s="75"/>
      <c r="S8" s="75"/>
      <c r="T8" s="75"/>
      <c r="U8" s="349" t="s">
        <v>162</v>
      </c>
      <c r="V8" s="76"/>
      <c r="W8" s="77" t="s">
        <v>185</v>
      </c>
      <c r="X8" s="78"/>
      <c r="Y8" s="78"/>
      <c r="Z8" s="78"/>
      <c r="AA8" s="78"/>
      <c r="AB8" s="210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pans="1:58" ht="29.5" thickBot="1" x14ac:dyDescent="0.4">
      <c r="B9" s="66"/>
      <c r="C9" s="67"/>
      <c r="D9" s="79" t="s">
        <v>35</v>
      </c>
      <c r="E9" s="80" t="s">
        <v>157</v>
      </c>
      <c r="F9" s="79" t="s">
        <v>177</v>
      </c>
      <c r="G9" s="81" t="s">
        <v>190</v>
      </c>
      <c r="H9" s="79" t="s">
        <v>227</v>
      </c>
      <c r="I9" s="70"/>
      <c r="J9" s="82" t="str">
        <f>D9</f>
        <v>Moduldaten(*)</v>
      </c>
      <c r="K9" s="83" t="str">
        <f>E9</f>
        <v>(R)egulär CS / (A)nerkannt / (B)eantragt</v>
      </c>
      <c r="L9" s="82" t="s">
        <v>177</v>
      </c>
      <c r="M9" s="84" t="str">
        <f>G9</f>
        <v>Modul
-start</v>
      </c>
      <c r="N9" s="82" t="str">
        <f>H9</f>
        <v>Note*</v>
      </c>
      <c r="O9" s="73"/>
      <c r="P9" s="85" t="str">
        <f>D9</f>
        <v>Moduldaten(*)</v>
      </c>
      <c r="Q9" s="86" t="str">
        <f>K9</f>
        <v>(R)egulär CS / (A)nerkannt / (B)eantragt</v>
      </c>
      <c r="R9" s="85" t="s">
        <v>177</v>
      </c>
      <c r="S9" s="87" t="str">
        <f>G9</f>
        <v>Modul
-start</v>
      </c>
      <c r="T9" s="85" t="str">
        <f>H9</f>
        <v>Note*</v>
      </c>
      <c r="U9" s="350"/>
      <c r="V9" s="76"/>
      <c r="W9" s="88" t="str">
        <f>D9</f>
        <v>Moduldaten(*)</v>
      </c>
      <c r="X9" s="89" t="s">
        <v>2</v>
      </c>
      <c r="Y9" s="88" t="s">
        <v>1</v>
      </c>
      <c r="Z9" s="289" t="str">
        <f>G9</f>
        <v>Modul
-start</v>
      </c>
      <c r="AA9" s="88" t="str">
        <f>H9</f>
        <v>Note*</v>
      </c>
      <c r="AB9" s="210"/>
      <c r="AC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</row>
    <row r="10" spans="1:58" x14ac:dyDescent="0.35">
      <c r="B10" s="66"/>
      <c r="C10" s="90" t="s">
        <v>4</v>
      </c>
      <c r="D10" s="91"/>
      <c r="E10" s="23"/>
      <c r="F10" s="23"/>
      <c r="G10" s="23"/>
      <c r="H10" s="23"/>
      <c r="I10" s="92" t="str">
        <f>$C10</f>
        <v>Biomoleküle:</v>
      </c>
      <c r="J10" s="23"/>
      <c r="K10" s="23"/>
      <c r="L10" s="23"/>
      <c r="M10" s="23"/>
      <c r="N10" s="23"/>
      <c r="O10" s="91" t="str">
        <f>$C10</f>
        <v>Biomoleküle:</v>
      </c>
      <c r="P10" s="23"/>
      <c r="Q10" s="23"/>
      <c r="R10" s="23"/>
      <c r="S10" s="23"/>
      <c r="T10" s="23"/>
      <c r="U10" s="336" t="str">
        <f>IF(SUM(L11:L14)+SUM(R11:R14)=0,"",SUM(L11:L14)&amp;CHAR(10)&amp;"+"&amp;+SUM(R11:R14)&amp;CHAR(10)&amp;"=" &amp; SUM(L11:L14)+SUM(R11:R14))</f>
        <v/>
      </c>
      <c r="V10" s="93" t="s">
        <v>24</v>
      </c>
      <c r="W10" s="94"/>
      <c r="X10" s="94"/>
      <c r="Y10" s="94"/>
      <c r="Z10" s="94"/>
      <c r="AA10" s="94"/>
      <c r="AB10" s="210"/>
      <c r="AC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</row>
    <row r="11" spans="1:58" ht="43.5" x14ac:dyDescent="0.35">
      <c r="B11" s="66"/>
      <c r="C11" s="95" t="str">
        <f>IF(OR(AND(H11&gt;=1,H11&lt;=4),H11="P"),F11,"")</f>
        <v/>
      </c>
      <c r="D11" s="7" t="s">
        <v>107</v>
      </c>
      <c r="E11" s="8" t="s">
        <v>3</v>
      </c>
      <c r="F11" s="8">
        <v>5</v>
      </c>
      <c r="G11" s="8"/>
      <c r="H11" s="9"/>
      <c r="I11" s="96"/>
      <c r="J11" s="7"/>
      <c r="K11" s="8" t="s">
        <v>3</v>
      </c>
      <c r="L11" s="10"/>
      <c r="M11" s="8"/>
      <c r="N11" s="9"/>
      <c r="O11" s="67"/>
      <c r="P11" s="7"/>
      <c r="Q11" s="8" t="s">
        <v>3</v>
      </c>
      <c r="R11" s="10"/>
      <c r="S11" s="8"/>
      <c r="T11" s="9"/>
      <c r="U11" s="337"/>
      <c r="V11" s="97"/>
      <c r="W11" s="7"/>
      <c r="X11" s="8"/>
      <c r="Y11" s="10"/>
      <c r="Z11" s="8"/>
      <c r="AA11" s="9"/>
      <c r="AB11" s="210"/>
      <c r="AC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</row>
    <row r="12" spans="1:58" x14ac:dyDescent="0.35">
      <c r="B12" s="66"/>
      <c r="C12" s="95" t="str">
        <f>IF(OR(AND(H12&gt;=1,H12&lt;=4),H12="P"),F12,"")</f>
        <v/>
      </c>
      <c r="D12" s="7" t="s">
        <v>108</v>
      </c>
      <c r="E12" s="11" t="s">
        <v>3</v>
      </c>
      <c r="F12" s="11">
        <v>5</v>
      </c>
      <c r="G12" s="11"/>
      <c r="H12" s="9"/>
      <c r="I12" s="96"/>
      <c r="J12" s="7"/>
      <c r="K12" s="8" t="s">
        <v>3</v>
      </c>
      <c r="L12" s="10"/>
      <c r="M12" s="8"/>
      <c r="N12" s="9"/>
      <c r="O12" s="67"/>
      <c r="P12" s="7"/>
      <c r="Q12" s="8" t="s">
        <v>3</v>
      </c>
      <c r="R12" s="10"/>
      <c r="S12" s="8"/>
      <c r="T12" s="9"/>
      <c r="U12" s="337"/>
      <c r="V12" s="97"/>
      <c r="W12" s="7"/>
      <c r="X12" s="8" t="s">
        <v>3</v>
      </c>
      <c r="Y12" s="10"/>
      <c r="Z12" s="8"/>
      <c r="AA12" s="9"/>
      <c r="AB12" s="210"/>
      <c r="AC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</row>
    <row r="13" spans="1:58" x14ac:dyDescent="0.35">
      <c r="B13" s="66"/>
      <c r="C13" s="95"/>
      <c r="D13" s="341" t="str">
        <f>IF(COUNTA(D11:D12)&gt;0,HandsOff_Basisdata!A$40,HandsOff_Basisdata!A$41)</f>
        <v>Ausreichend Module in diesem KB</v>
      </c>
      <c r="E13" s="341"/>
      <c r="F13" s="341"/>
      <c r="G13" s="341"/>
      <c r="H13" s="341"/>
      <c r="I13" s="96"/>
      <c r="J13" s="12"/>
      <c r="K13" s="8" t="s">
        <v>3</v>
      </c>
      <c r="L13" s="13"/>
      <c r="M13" s="11"/>
      <c r="N13" s="14"/>
      <c r="O13" s="67"/>
      <c r="P13" s="12"/>
      <c r="Q13" s="8" t="s">
        <v>3</v>
      </c>
      <c r="R13" s="13"/>
      <c r="S13" s="11"/>
      <c r="T13" s="14"/>
      <c r="U13" s="337"/>
      <c r="V13" s="97"/>
      <c r="W13" s="12"/>
      <c r="X13" s="8" t="s">
        <v>3</v>
      </c>
      <c r="Y13" s="10"/>
      <c r="Z13" s="11"/>
      <c r="AA13" s="14"/>
      <c r="AB13" s="210"/>
      <c r="AC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</row>
    <row r="14" spans="1:58" s="52" customFormat="1" ht="16" thickBot="1" x14ac:dyDescent="0.4">
      <c r="B14" s="66"/>
      <c r="C14" s="98"/>
      <c r="D14" s="342"/>
      <c r="E14" s="342"/>
      <c r="F14" s="342"/>
      <c r="G14" s="342"/>
      <c r="H14" s="342"/>
      <c r="I14" s="96"/>
      <c r="J14" s="7"/>
      <c r="K14" s="8" t="s">
        <v>3</v>
      </c>
      <c r="L14" s="10"/>
      <c r="M14" s="8"/>
      <c r="N14" s="9"/>
      <c r="O14" s="67"/>
      <c r="P14" s="7"/>
      <c r="Q14" s="8" t="s">
        <v>3</v>
      </c>
      <c r="R14" s="10"/>
      <c r="S14" s="8"/>
      <c r="T14" s="9"/>
      <c r="U14" s="99"/>
      <c r="V14" s="27"/>
      <c r="W14" s="27"/>
      <c r="X14" s="27"/>
      <c r="Y14" s="98"/>
      <c r="AB14" s="210"/>
      <c r="AC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</row>
    <row r="15" spans="1:58" x14ac:dyDescent="0.35">
      <c r="B15" s="66"/>
      <c r="C15" s="90" t="s">
        <v>5</v>
      </c>
      <c r="D15" s="91"/>
      <c r="E15" s="23"/>
      <c r="F15" s="23"/>
      <c r="G15" s="100" t="s">
        <v>155</v>
      </c>
      <c r="H15" s="100"/>
      <c r="I15" s="92" t="str">
        <f>$C15</f>
        <v>Zellen:</v>
      </c>
      <c r="J15" s="23"/>
      <c r="K15" s="23"/>
      <c r="L15" s="24"/>
      <c r="M15" s="23"/>
      <c r="N15" s="23"/>
      <c r="O15" s="91" t="str">
        <f>$C15</f>
        <v>Zellen:</v>
      </c>
      <c r="P15" s="23"/>
      <c r="Q15" s="23"/>
      <c r="R15" s="24"/>
      <c r="S15" s="23"/>
      <c r="T15" s="23"/>
      <c r="U15" s="336" t="str">
        <f>IF(SUM(L16:L19)+SUM(R16:R19)=0,"",SUM(L16:L19)&amp;CHAR(10)&amp;"+"&amp;+SUM(R16:R19)&amp;CHAR(10)&amp;"=" &amp; SUM(L16:L19)+SUM(R16:R19))</f>
        <v/>
      </c>
      <c r="V15" s="93" t="s">
        <v>25</v>
      </c>
      <c r="W15" s="94"/>
      <c r="X15" s="94"/>
      <c r="Y15" s="94"/>
      <c r="Z15" s="94"/>
      <c r="AA15" s="94"/>
      <c r="AB15" s="210"/>
      <c r="AC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</row>
    <row r="16" spans="1:58" ht="29" x14ac:dyDescent="0.35">
      <c r="B16" s="66"/>
      <c r="C16" s="95"/>
      <c r="D16" s="7" t="s">
        <v>240</v>
      </c>
      <c r="E16" s="8" t="s">
        <v>3</v>
      </c>
      <c r="F16" s="8">
        <v>5</v>
      </c>
      <c r="G16" s="8"/>
      <c r="H16" s="9"/>
      <c r="I16" s="96"/>
      <c r="J16" s="7"/>
      <c r="K16" s="8" t="s">
        <v>3</v>
      </c>
      <c r="L16" s="10"/>
      <c r="M16" s="8"/>
      <c r="N16" s="9"/>
      <c r="O16" s="67"/>
      <c r="P16" s="7"/>
      <c r="Q16" s="8" t="s">
        <v>3</v>
      </c>
      <c r="R16" s="10"/>
      <c r="S16" s="8"/>
      <c r="T16" s="9"/>
      <c r="U16" s="337"/>
      <c r="V16" s="97"/>
      <c r="W16" s="7"/>
      <c r="X16" s="8" t="s">
        <v>3</v>
      </c>
      <c r="Y16" s="10"/>
      <c r="Z16" s="8"/>
      <c r="AA16" s="9"/>
      <c r="AB16" s="210"/>
      <c r="AC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</row>
    <row r="17" spans="2:58" ht="29" x14ac:dyDescent="0.35">
      <c r="B17" s="66"/>
      <c r="C17" s="95"/>
      <c r="D17" s="7" t="s">
        <v>253</v>
      </c>
      <c r="E17" s="11" t="s">
        <v>3</v>
      </c>
      <c r="F17" s="11">
        <v>5</v>
      </c>
      <c r="G17" s="8"/>
      <c r="H17" s="9"/>
      <c r="I17" s="96"/>
      <c r="J17" s="12"/>
      <c r="K17" s="8" t="s">
        <v>3</v>
      </c>
      <c r="L17" s="13"/>
      <c r="M17" s="11"/>
      <c r="N17" s="9"/>
      <c r="O17" s="67"/>
      <c r="P17" s="7"/>
      <c r="Q17" s="8" t="s">
        <v>3</v>
      </c>
      <c r="R17" s="10"/>
      <c r="S17" s="8"/>
      <c r="T17" s="9"/>
      <c r="U17" s="337"/>
      <c r="V17" s="97"/>
      <c r="W17" s="7"/>
      <c r="X17" s="8" t="s">
        <v>3</v>
      </c>
      <c r="Y17" s="10"/>
      <c r="Z17" s="8"/>
      <c r="AA17" s="9"/>
      <c r="AB17" s="210"/>
      <c r="AC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</row>
    <row r="18" spans="2:58" x14ac:dyDescent="0.35">
      <c r="B18" s="66"/>
      <c r="C18" s="95"/>
      <c r="D18" s="341" t="str">
        <f>IF(COUNTA(D16:D17)&gt;0,HandsOff_Basisdata!A$40,HandsOff_Basisdata!A$41)</f>
        <v>Ausreichend Module in diesem KB</v>
      </c>
      <c r="E18" s="341"/>
      <c r="F18" s="341"/>
      <c r="G18" s="341"/>
      <c r="H18" s="341"/>
      <c r="I18" s="96"/>
      <c r="J18" s="12"/>
      <c r="K18" s="8" t="s">
        <v>3</v>
      </c>
      <c r="L18" s="13"/>
      <c r="M18" s="11"/>
      <c r="N18" s="14"/>
      <c r="O18" s="67"/>
      <c r="P18" s="12"/>
      <c r="Q18" s="8" t="s">
        <v>3</v>
      </c>
      <c r="R18" s="13"/>
      <c r="S18" s="11"/>
      <c r="T18" s="14"/>
      <c r="U18" s="337"/>
      <c r="V18" s="97"/>
      <c r="W18" s="12"/>
      <c r="X18" s="8" t="s">
        <v>3</v>
      </c>
      <c r="Y18" s="10"/>
      <c r="Z18" s="11"/>
      <c r="AA18" s="14"/>
      <c r="AB18" s="210"/>
      <c r="AC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</row>
    <row r="19" spans="2:58" s="52" customFormat="1" ht="16" thickBot="1" x14ac:dyDescent="0.4">
      <c r="B19" s="66"/>
      <c r="C19" s="98"/>
      <c r="D19" s="342"/>
      <c r="E19" s="342"/>
      <c r="F19" s="342"/>
      <c r="G19" s="342"/>
      <c r="H19" s="342"/>
      <c r="I19" s="96"/>
      <c r="J19" s="7"/>
      <c r="K19" s="8" t="s">
        <v>3</v>
      </c>
      <c r="L19" s="10"/>
      <c r="M19" s="8"/>
      <c r="N19" s="9"/>
      <c r="O19" s="67"/>
      <c r="P19" s="7"/>
      <c r="Q19" s="8" t="s">
        <v>3</v>
      </c>
      <c r="R19" s="10"/>
      <c r="S19" s="8"/>
      <c r="T19" s="9"/>
      <c r="U19" s="99"/>
      <c r="V19" s="27"/>
      <c r="W19" s="27"/>
      <c r="X19" s="27"/>
      <c r="Y19" s="98"/>
      <c r="AB19" s="210"/>
      <c r="AC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</row>
    <row r="20" spans="2:58" x14ac:dyDescent="0.35">
      <c r="B20" s="66"/>
      <c r="C20" s="90" t="s">
        <v>6</v>
      </c>
      <c r="D20" s="91"/>
      <c r="E20" s="23"/>
      <c r="F20" s="23"/>
      <c r="G20" s="23"/>
      <c r="H20" s="23"/>
      <c r="I20" s="92" t="str">
        <f>$C20</f>
        <v>Organsimen:</v>
      </c>
      <c r="J20" s="23"/>
      <c r="K20" s="23"/>
      <c r="L20" s="24"/>
      <c r="M20" s="23"/>
      <c r="N20" s="23"/>
      <c r="O20" s="91" t="str">
        <f>$C20</f>
        <v>Organsimen:</v>
      </c>
      <c r="P20" s="23"/>
      <c r="Q20" s="23"/>
      <c r="R20" s="24"/>
      <c r="S20" s="23"/>
      <c r="T20" s="23"/>
      <c r="U20" s="336" t="str">
        <f>IF(SUM(L21:L24)+SUM(R21:R24)=0,"",SUM(L21:L24)&amp;CHAR(10)&amp;"+"&amp;+SUM(R21:R24)&amp;CHAR(10)&amp;"=" &amp; SUM(L21:L24)+SUM(R21:R24))</f>
        <v>15
+5
=20</v>
      </c>
      <c r="V20" s="93" t="s">
        <v>26</v>
      </c>
      <c r="W20" s="94"/>
      <c r="X20" s="94"/>
      <c r="Y20" s="94"/>
      <c r="Z20" s="94"/>
      <c r="AA20" s="94"/>
      <c r="AB20" s="210"/>
      <c r="AC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</row>
    <row r="21" spans="2:58" ht="29" x14ac:dyDescent="0.35">
      <c r="B21" s="66"/>
      <c r="C21" s="95"/>
      <c r="D21" s="7"/>
      <c r="E21" s="8" t="s">
        <v>3</v>
      </c>
      <c r="F21" s="8"/>
      <c r="G21" s="8"/>
      <c r="H21" s="9"/>
      <c r="I21" s="96"/>
      <c r="J21" s="7" t="s">
        <v>257</v>
      </c>
      <c r="K21" s="8" t="s">
        <v>3</v>
      </c>
      <c r="L21" s="10">
        <v>10</v>
      </c>
      <c r="M21" s="8"/>
      <c r="N21" s="9"/>
      <c r="O21" s="67"/>
      <c r="P21" s="7" t="s">
        <v>257</v>
      </c>
      <c r="Q21" s="8" t="s">
        <v>3</v>
      </c>
      <c r="R21" s="10">
        <v>5</v>
      </c>
      <c r="S21" s="8"/>
      <c r="T21" s="9"/>
      <c r="U21" s="337"/>
      <c r="V21" s="97"/>
      <c r="W21" s="7"/>
      <c r="X21" s="8" t="s">
        <v>3</v>
      </c>
      <c r="Y21" s="10"/>
      <c r="Z21" s="8"/>
      <c r="AA21" s="9"/>
      <c r="AB21" s="210"/>
      <c r="AC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</row>
    <row r="22" spans="2:58" ht="29" x14ac:dyDescent="0.35">
      <c r="B22" s="66"/>
      <c r="C22" s="95"/>
      <c r="D22" s="12"/>
      <c r="E22" s="11" t="s">
        <v>3</v>
      </c>
      <c r="F22" s="11"/>
      <c r="G22" s="8"/>
      <c r="H22" s="9"/>
      <c r="I22" s="96"/>
      <c r="J22" s="7" t="s">
        <v>257</v>
      </c>
      <c r="K22" s="8" t="s">
        <v>3</v>
      </c>
      <c r="L22" s="10">
        <v>5</v>
      </c>
      <c r="M22" s="8"/>
      <c r="N22" s="9"/>
      <c r="O22" s="67"/>
      <c r="P22" s="7"/>
      <c r="Q22" s="8" t="s">
        <v>3</v>
      </c>
      <c r="R22" s="10"/>
      <c r="S22" s="8"/>
      <c r="T22" s="9"/>
      <c r="U22" s="337"/>
      <c r="V22" s="97"/>
      <c r="W22" s="7"/>
      <c r="X22" s="8" t="s">
        <v>3</v>
      </c>
      <c r="Y22" s="10"/>
      <c r="Z22" s="8"/>
      <c r="AA22" s="9"/>
      <c r="AB22" s="210"/>
      <c r="AC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</row>
    <row r="23" spans="2:58" x14ac:dyDescent="0.35">
      <c r="B23" s="66"/>
      <c r="C23" s="95"/>
      <c r="D23" s="341" t="str">
        <f>IF(COUNTA(D21:D22)&gt;0,HandsOff_Basisdata!A$40,HandsOff_Basisdata!A$41)</f>
        <v>In diesem KB minimal 1, maximal 2 Module belegen</v>
      </c>
      <c r="E23" s="341"/>
      <c r="F23" s="341"/>
      <c r="G23" s="341"/>
      <c r="H23" s="341"/>
      <c r="I23" s="96"/>
      <c r="J23" s="12"/>
      <c r="K23" s="8" t="s">
        <v>3</v>
      </c>
      <c r="L23" s="13"/>
      <c r="M23" s="11"/>
      <c r="N23" s="14"/>
      <c r="O23" s="67"/>
      <c r="P23" s="12"/>
      <c r="Q23" s="8" t="s">
        <v>3</v>
      </c>
      <c r="R23" s="13"/>
      <c r="S23" s="11"/>
      <c r="T23" s="14"/>
      <c r="U23" s="337"/>
      <c r="V23" s="97"/>
      <c r="W23" s="12"/>
      <c r="X23" s="8" t="s">
        <v>3</v>
      </c>
      <c r="Y23" s="10"/>
      <c r="Z23" s="11"/>
      <c r="AA23" s="14"/>
      <c r="AB23" s="210"/>
      <c r="AC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</row>
    <row r="24" spans="2:58" s="52" customFormat="1" ht="16" thickBot="1" x14ac:dyDescent="0.4">
      <c r="B24" s="66"/>
      <c r="C24" s="98"/>
      <c r="D24" s="342"/>
      <c r="E24" s="342"/>
      <c r="F24" s="342"/>
      <c r="G24" s="342"/>
      <c r="H24" s="342"/>
      <c r="I24" s="96"/>
      <c r="J24" s="7"/>
      <c r="K24" s="8" t="s">
        <v>3</v>
      </c>
      <c r="L24" s="10"/>
      <c r="M24" s="8"/>
      <c r="N24" s="9"/>
      <c r="O24" s="67"/>
      <c r="P24" s="7"/>
      <c r="Q24" s="8" t="s">
        <v>3</v>
      </c>
      <c r="R24" s="10"/>
      <c r="S24" s="8"/>
      <c r="T24" s="9"/>
      <c r="U24" s="99"/>
      <c r="V24" s="27"/>
      <c r="W24" s="27"/>
      <c r="X24" s="27"/>
      <c r="Y24" s="98"/>
      <c r="AB24" s="210"/>
      <c r="AC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</row>
    <row r="25" spans="2:58" x14ac:dyDescent="0.35">
      <c r="B25" s="66"/>
      <c r="C25" s="90" t="s">
        <v>7</v>
      </c>
      <c r="D25" s="91"/>
      <c r="E25" s="23"/>
      <c r="F25" s="23"/>
      <c r="G25" s="23"/>
      <c r="H25" s="23"/>
      <c r="I25" s="92" t="str">
        <f>$C25</f>
        <v>Medizin:</v>
      </c>
      <c r="J25" s="23"/>
      <c r="K25" s="23"/>
      <c r="L25" s="24"/>
      <c r="M25" s="23"/>
      <c r="N25" s="23"/>
      <c r="O25" s="91" t="str">
        <f>$C25</f>
        <v>Medizin:</v>
      </c>
      <c r="P25" s="23"/>
      <c r="Q25" s="23"/>
      <c r="R25" s="24"/>
      <c r="S25" s="23"/>
      <c r="T25" s="23"/>
      <c r="U25" s="336" t="str">
        <f>IF(SUM(L26:L29)+SUM(R26:R29)=0,"",SUM(L26:L29)&amp;CHAR(10)&amp;"+"&amp;+SUM(R26:R29)&amp;CHAR(10)&amp;"=" &amp; SUM(L26:L29)+SUM(R26:R29))</f>
        <v>0
+5
=5</v>
      </c>
      <c r="V25" s="93" t="s">
        <v>34</v>
      </c>
      <c r="W25" s="94"/>
      <c r="X25" s="94"/>
      <c r="Y25" s="94"/>
      <c r="Z25" s="94"/>
      <c r="AA25" s="94"/>
      <c r="AB25" s="210"/>
      <c r="AC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2:58" ht="29" x14ac:dyDescent="0.35">
      <c r="B26" s="66"/>
      <c r="C26" s="95"/>
      <c r="D26" s="7" t="s">
        <v>241</v>
      </c>
      <c r="E26" s="8" t="s">
        <v>3</v>
      </c>
      <c r="F26" s="8">
        <v>5</v>
      </c>
      <c r="G26" s="8"/>
      <c r="H26" s="9"/>
      <c r="I26" s="96"/>
      <c r="J26" s="7"/>
      <c r="K26" s="8"/>
      <c r="L26" s="10"/>
      <c r="M26" s="8"/>
      <c r="N26" s="9"/>
      <c r="O26" s="67"/>
      <c r="P26" s="7" t="s">
        <v>257</v>
      </c>
      <c r="Q26" s="8" t="s">
        <v>3</v>
      </c>
      <c r="R26" s="10">
        <v>5</v>
      </c>
      <c r="S26" s="8"/>
      <c r="T26" s="9"/>
      <c r="U26" s="337"/>
      <c r="V26" s="97"/>
      <c r="W26" s="12" t="s">
        <v>258</v>
      </c>
      <c r="X26" s="8" t="s">
        <v>3</v>
      </c>
      <c r="Y26" s="10">
        <v>3</v>
      </c>
      <c r="Z26" s="8"/>
      <c r="AA26" s="9"/>
      <c r="AB26" s="210"/>
      <c r="AC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</row>
    <row r="27" spans="2:58" x14ac:dyDescent="0.35">
      <c r="B27" s="66"/>
      <c r="C27" s="95"/>
      <c r="D27" s="7"/>
      <c r="E27" s="8"/>
      <c r="F27" s="8"/>
      <c r="G27" s="8"/>
      <c r="H27" s="9"/>
      <c r="I27" s="96"/>
      <c r="J27" s="7"/>
      <c r="K27" s="8"/>
      <c r="L27" s="10"/>
      <c r="M27" s="8"/>
      <c r="N27" s="9"/>
      <c r="O27" s="67"/>
      <c r="P27" s="7"/>
      <c r="Q27" s="8"/>
      <c r="R27" s="10"/>
      <c r="S27" s="8"/>
      <c r="T27" s="9"/>
      <c r="U27" s="337"/>
      <c r="V27" s="97"/>
      <c r="W27" s="7"/>
      <c r="X27" s="8" t="s">
        <v>3</v>
      </c>
      <c r="Y27" s="10"/>
      <c r="Z27" s="8"/>
      <c r="AA27" s="9"/>
      <c r="AB27" s="210"/>
      <c r="AC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</row>
    <row r="28" spans="2:58" x14ac:dyDescent="0.35">
      <c r="B28" s="66"/>
      <c r="C28" s="95"/>
      <c r="D28" s="341" t="str">
        <f>IF(COUNTA(D26:D27)&gt;0,HandsOff_Basisdata!A$40,HandsOff_Basisdata!A$41)</f>
        <v>Ausreichend Module in diesem KB</v>
      </c>
      <c r="E28" s="341"/>
      <c r="F28" s="341"/>
      <c r="G28" s="341"/>
      <c r="H28" s="341"/>
      <c r="I28" s="96"/>
      <c r="J28" s="7"/>
      <c r="K28" s="8" t="s">
        <v>3</v>
      </c>
      <c r="L28" s="10"/>
      <c r="M28" s="8"/>
      <c r="N28" s="9"/>
      <c r="O28" s="67"/>
      <c r="P28" s="7"/>
      <c r="Q28" s="8" t="s">
        <v>3</v>
      </c>
      <c r="R28" s="10"/>
      <c r="S28" s="8"/>
      <c r="T28" s="14"/>
      <c r="U28" s="337"/>
      <c r="V28" s="97"/>
      <c r="W28" s="12"/>
      <c r="X28" s="8" t="s">
        <v>3</v>
      </c>
      <c r="Y28" s="10"/>
      <c r="Z28" s="11"/>
      <c r="AA28" s="14"/>
      <c r="AB28" s="210"/>
      <c r="AC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</row>
    <row r="29" spans="2:58" s="52" customFormat="1" ht="16" thickBot="1" x14ac:dyDescent="0.4">
      <c r="B29" s="66"/>
      <c r="C29" s="98"/>
      <c r="D29" s="342"/>
      <c r="E29" s="342"/>
      <c r="F29" s="342"/>
      <c r="G29" s="342"/>
      <c r="H29" s="342"/>
      <c r="I29" s="96"/>
      <c r="J29" s="7"/>
      <c r="K29" s="8" t="s">
        <v>3</v>
      </c>
      <c r="L29" s="10"/>
      <c r="M29" s="8"/>
      <c r="N29" s="9"/>
      <c r="O29" s="67"/>
      <c r="P29" s="7"/>
      <c r="Q29" s="8" t="s">
        <v>3</v>
      </c>
      <c r="R29" s="10"/>
      <c r="S29" s="8"/>
      <c r="T29" s="9"/>
      <c r="U29" s="99"/>
      <c r="V29" s="27"/>
      <c r="W29" s="27"/>
      <c r="X29" s="27"/>
      <c r="Y29" s="98"/>
      <c r="AB29" s="210"/>
      <c r="AC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</row>
    <row r="30" spans="2:58" x14ac:dyDescent="0.35">
      <c r="B30" s="66"/>
      <c r="C30" s="90" t="s">
        <v>8</v>
      </c>
      <c r="D30" s="91"/>
      <c r="E30" s="23"/>
      <c r="F30" s="23"/>
      <c r="G30" s="23"/>
      <c r="H30" s="23"/>
      <c r="I30" s="92" t="str">
        <f>$C30</f>
        <v>Technik:</v>
      </c>
      <c r="J30" s="23"/>
      <c r="K30" s="23"/>
      <c r="L30" s="24"/>
      <c r="M30" s="23"/>
      <c r="N30" s="23"/>
      <c r="O30" s="91" t="str">
        <f>$C30</f>
        <v>Technik:</v>
      </c>
      <c r="P30" s="23"/>
      <c r="Q30" s="23"/>
      <c r="R30" s="24"/>
      <c r="S30" s="23"/>
      <c r="T30" s="23"/>
      <c r="U30" s="336" t="str">
        <f>IF(SUM(L31:L34)+SUM(R31:R34)=0,"",SUM(L31:L34)&amp;CHAR(10)&amp;"+"&amp;+SUM(R31:R34)&amp;CHAR(10)&amp;"=" &amp; SUM(L31:L34)+SUM(R31:R34))</f>
        <v>5
+10
=15</v>
      </c>
      <c r="V30" s="93" t="s">
        <v>27</v>
      </c>
      <c r="W30" s="94"/>
      <c r="X30" s="94"/>
      <c r="Y30" s="94"/>
      <c r="Z30" s="94"/>
      <c r="AA30" s="94"/>
      <c r="AB30" s="210"/>
      <c r="AC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</row>
    <row r="31" spans="2:58" ht="29" x14ac:dyDescent="0.35">
      <c r="B31" s="66"/>
      <c r="C31" s="95"/>
      <c r="D31" s="12" t="s">
        <v>248</v>
      </c>
      <c r="E31" s="8" t="s">
        <v>3</v>
      </c>
      <c r="F31" s="8">
        <v>5</v>
      </c>
      <c r="G31" s="8"/>
      <c r="H31" s="9"/>
      <c r="I31" s="96"/>
      <c r="J31" s="7" t="s">
        <v>257</v>
      </c>
      <c r="K31" s="8" t="s">
        <v>3</v>
      </c>
      <c r="L31" s="10">
        <v>5</v>
      </c>
      <c r="M31" s="8"/>
      <c r="N31" s="9"/>
      <c r="O31" s="67"/>
      <c r="P31" s="7" t="s">
        <v>257</v>
      </c>
      <c r="Q31" s="8" t="s">
        <v>3</v>
      </c>
      <c r="R31" s="10">
        <v>10</v>
      </c>
      <c r="S31" s="8"/>
      <c r="T31" s="9"/>
      <c r="U31" s="337"/>
      <c r="V31" s="97"/>
      <c r="W31" s="7"/>
      <c r="X31" s="8" t="s">
        <v>3</v>
      </c>
      <c r="Y31" s="10"/>
      <c r="Z31" s="8"/>
      <c r="AA31" s="9"/>
      <c r="AB31" s="210"/>
      <c r="AC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</row>
    <row r="32" spans="2:58" ht="29" x14ac:dyDescent="0.35">
      <c r="B32" s="66"/>
      <c r="C32" s="95"/>
      <c r="D32" s="12" t="s">
        <v>249</v>
      </c>
      <c r="E32" s="8"/>
      <c r="F32" s="8"/>
      <c r="G32" s="8"/>
      <c r="H32" s="9"/>
      <c r="I32" s="96"/>
      <c r="J32" s="7"/>
      <c r="K32" s="8" t="s">
        <v>3</v>
      </c>
      <c r="L32" s="10"/>
      <c r="M32" s="8"/>
      <c r="N32" s="9"/>
      <c r="O32" s="67"/>
      <c r="P32" s="7"/>
      <c r="Q32" s="8" t="s">
        <v>3</v>
      </c>
      <c r="R32" s="10"/>
      <c r="S32" s="8"/>
      <c r="T32" s="9"/>
      <c r="U32" s="337"/>
      <c r="V32" s="97"/>
      <c r="W32" s="7"/>
      <c r="X32" s="8" t="s">
        <v>3</v>
      </c>
      <c r="Y32" s="10"/>
      <c r="Z32" s="8"/>
      <c r="AA32" s="9"/>
      <c r="AB32" s="210"/>
      <c r="AC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</row>
    <row r="33" spans="2:58" ht="14.4" customHeight="1" x14ac:dyDescent="0.35">
      <c r="B33" s="66"/>
      <c r="C33" s="95"/>
      <c r="D33" s="341" t="str">
        <f>IF(COUNTA(D31:D32)&gt;0,HandsOff_Basisdata!A$40,HandsOff_Basisdata!A$41)</f>
        <v>Ausreichend Module in diesem KB</v>
      </c>
      <c r="E33" s="341"/>
      <c r="F33" s="341"/>
      <c r="G33" s="341"/>
      <c r="H33" s="341"/>
      <c r="I33" s="96"/>
      <c r="J33" s="12"/>
      <c r="K33" s="8" t="s">
        <v>3</v>
      </c>
      <c r="L33" s="13"/>
      <c r="M33" s="11"/>
      <c r="N33" s="14"/>
      <c r="O33" s="67"/>
      <c r="P33" s="12"/>
      <c r="Q33" s="8" t="s">
        <v>3</v>
      </c>
      <c r="R33" s="13"/>
      <c r="S33" s="11"/>
      <c r="T33" s="14"/>
      <c r="U33" s="337"/>
      <c r="V33" s="97"/>
      <c r="W33" s="12"/>
      <c r="X33" s="8" t="s">
        <v>3</v>
      </c>
      <c r="Y33" s="10"/>
      <c r="Z33" s="11"/>
      <c r="AA33" s="14"/>
      <c r="AB33" s="210"/>
      <c r="AC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</row>
    <row r="34" spans="2:58" s="52" customFormat="1" ht="16" thickBot="1" x14ac:dyDescent="0.4">
      <c r="B34" s="66"/>
      <c r="C34" s="98"/>
      <c r="D34" s="342"/>
      <c r="E34" s="342"/>
      <c r="F34" s="342"/>
      <c r="G34" s="342"/>
      <c r="H34" s="342"/>
      <c r="I34" s="96"/>
      <c r="J34" s="16"/>
      <c r="K34" s="8" t="s">
        <v>3</v>
      </c>
      <c r="L34" s="17"/>
      <c r="M34" s="15"/>
      <c r="N34" s="18"/>
      <c r="O34" s="67"/>
      <c r="P34" s="16"/>
      <c r="Q34" s="8" t="s">
        <v>3</v>
      </c>
      <c r="R34" s="17"/>
      <c r="S34" s="15"/>
      <c r="T34" s="18"/>
      <c r="U34" s="99"/>
      <c r="V34" s="27"/>
      <c r="W34" s="335" t="str">
        <f>IF(AA36&gt;=(HandsOff_Basisdata!C6+HandsOff_Basisdata!H6),HandsOff_Basisdata!K18,
  IF(AA36&gt;=HandsOff_Basisdata!C6,HandsOff_Basisdata!A12,
  HandsOff_Basisdata!A11))</f>
        <v>Mindest-CPs NICHT erreicht</v>
      </c>
      <c r="X34" s="335"/>
      <c r="Y34" s="335"/>
      <c r="Z34" s="335"/>
      <c r="AA34" s="335"/>
      <c r="AB34" s="210"/>
      <c r="AC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</row>
    <row r="35" spans="2:58" s="52" customFormat="1" x14ac:dyDescent="0.35">
      <c r="B35" s="66"/>
      <c r="C35" s="101" t="str">
        <f>"FPSO: " &amp;D8</f>
        <v>FPSO:  ZEUGNISRELEVANTE Kernmodule (= Grundlagenmodule): = 40 CPs</v>
      </c>
      <c r="D35" s="102"/>
      <c r="E35" s="102"/>
      <c r="F35" s="102"/>
      <c r="G35" s="102"/>
      <c r="H35" s="102"/>
      <c r="I35" s="70"/>
      <c r="J35" s="101" t="str">
        <f>"FPSO: " &amp;J8</f>
        <v>FPSO:  ZEUGNISRELEVANTE Vertiefung (Theorie-Module) "VTt" &gt;= 12 (- ca. 22) CPs</v>
      </c>
      <c r="K35" s="102"/>
      <c r="L35" s="102"/>
      <c r="M35" s="102"/>
      <c r="N35" s="102"/>
      <c r="O35" s="73"/>
      <c r="P35" s="101" t="str">
        <f>"FPSO: " &amp;P8</f>
        <v>FPSO: ZEUGNISRELEVANTE Vertiefung (Praxis Module) "VTp": &gt;= 15 (- ca. 25) CPs</v>
      </c>
      <c r="Q35" s="102"/>
      <c r="R35" s="102"/>
      <c r="S35" s="102"/>
      <c r="T35" s="102"/>
      <c r="U35" s="26"/>
      <c r="V35" s="101" t="str">
        <f>"FPSO " &amp;W8</f>
        <v>FPSO  ZEUGNISRELEVANTE ABF / FÜG - Module: &gt;= 8 CPs</v>
      </c>
      <c r="W35" s="102"/>
      <c r="X35" s="102"/>
      <c r="Y35" s="102"/>
      <c r="Z35" s="103"/>
      <c r="AA35" s="104"/>
      <c r="AB35" s="210"/>
      <c r="AC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</row>
    <row r="36" spans="2:58" ht="21" x14ac:dyDescent="0.35">
      <c r="B36" s="66"/>
      <c r="C36" s="105"/>
      <c r="D36" s="106" t="s">
        <v>31</v>
      </c>
      <c r="E36" s="106" t="str">
        <f>" R: " &amp; SUMIF(E10:E33,"R", F10:F33)</f>
        <v xml:space="preserve"> R: 30</v>
      </c>
      <c r="F36" s="106" t="str">
        <f>" A: " &amp; SUMIF(E10:E33,"A",F10:F33)</f>
        <v xml:space="preserve"> A: 0</v>
      </c>
      <c r="G36" s="106" t="str">
        <f>"Ben." &amp;HandsOff_Notenschnitt!C40</f>
        <v>Ben.0</v>
      </c>
      <c r="H36" s="297">
        <f>SUM(F10:F33)</f>
        <v>30</v>
      </c>
      <c r="I36" s="107"/>
      <c r="J36" s="106" t="str">
        <f>"FPSO-Minimum CPs: "&amp;HandsOff_Basisdata!C2 &amp; " (- ca. " &amp;HandsOff_Basisdata!E2 &amp;")" &amp; " CPs"</f>
        <v>FPSO-Minimum CPs: 12 (- ca. 22) CPs</v>
      </c>
      <c r="K36" s="106" t="str">
        <f>" R: " &amp; SUMIF(K10:K33,"R", L10:L33)</f>
        <v xml:space="preserve"> R: 20</v>
      </c>
      <c r="L36" s="106" t="str">
        <f>" A: " &amp; SUMIF(K10:K33,"A",L10:L33)</f>
        <v xml:space="preserve"> A: 0</v>
      </c>
      <c r="M36" s="106" t="str">
        <f>"Ben." &amp;HandsOff_Notenschnitt!I40</f>
        <v>Ben.0</v>
      </c>
      <c r="N36" s="298">
        <f>SUM(L10:L33)</f>
        <v>20</v>
      </c>
      <c r="O36" s="108"/>
      <c r="P36" s="106" t="str">
        <f>"FPSO-Minimum CPs: "&amp;HandsOff_Basisdata!C3  &amp;" (- ca. " &amp; HandsOff_Basisdata!E3 &amp; ") CPs"</f>
        <v>FPSO-Minimum CPs: 15 (- ca. 25) CPs</v>
      </c>
      <c r="Q36" s="106" t="str">
        <f>" R: " &amp; SUMIF(Q10:Q33,"R", R10:R33)</f>
        <v xml:space="preserve"> R: 20</v>
      </c>
      <c r="R36" s="106" t="str">
        <f>" A: " &amp; SUMIF(Q10:Q33,"A",R10:R33)</f>
        <v xml:space="preserve"> A: 0</v>
      </c>
      <c r="S36" s="106" t="str">
        <f>"Ben." &amp;HandsOff_Notenschnitt!O40</f>
        <v>Ben.0</v>
      </c>
      <c r="T36" s="298">
        <f>SUM(R10:R33)</f>
        <v>20</v>
      </c>
      <c r="U36" s="109">
        <f>N36+T36</f>
        <v>40</v>
      </c>
      <c r="V36" s="110"/>
      <c r="W36" s="111" t="str">
        <f>"FPSO-Minimum CPs: "&amp;HandsOff_Basisdata!C6</f>
        <v>FPSO-Minimum CPs: 8</v>
      </c>
      <c r="X36" s="111" t="str">
        <f>"R: " &amp; SUMIF(X10:X33,"R", Y10:Y33)</f>
        <v>R: 3</v>
      </c>
      <c r="Y36" s="111" t="str">
        <f>"A: " &amp; SUMIF(X10:X33,"A",Y10:Y33)</f>
        <v>A: 0</v>
      </c>
      <c r="Z36" s="106" t="str">
        <f>"Ben." &amp;HandsOff_Notenschnitt!V40</f>
        <v>Ben.0</v>
      </c>
      <c r="AA36" s="299">
        <f>SUM(Y10:Y33)</f>
        <v>3</v>
      </c>
      <c r="AB36" s="210"/>
      <c r="AC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</row>
    <row r="37" spans="2:58" ht="26.4" customHeight="1" x14ac:dyDescent="0.35">
      <c r="B37" s="66"/>
      <c r="C37" s="65"/>
      <c r="F37" s="112"/>
      <c r="G37" s="112"/>
      <c r="H37" s="113" t="s">
        <v>69</v>
      </c>
      <c r="J37" s="334" t="str">
        <f>W58</f>
        <v>Sowohl Mindest- (als auch Maximal CPs) bei VTt  FPSO-konform</v>
      </c>
      <c r="K37" s="334"/>
      <c r="L37" s="334"/>
      <c r="M37" s="334"/>
      <c r="N37" s="334"/>
      <c r="O37" s="114"/>
      <c r="P37" s="334" t="str">
        <f>W61</f>
        <v>Sowohl Mindest- (als auch Maximal CPs) bei VTp  FPSO-konform</v>
      </c>
      <c r="Q37" s="334"/>
      <c r="R37" s="334"/>
      <c r="S37" s="334"/>
      <c r="T37" s="334"/>
      <c r="V37" s="27"/>
      <c r="W37" s="52" t="s">
        <v>228</v>
      </c>
      <c r="X37" s="52"/>
      <c r="Y37" s="52"/>
      <c r="Z37" s="52"/>
      <c r="AA37" s="345" t="str">
        <f>P3</f>
        <v>0…</v>
      </c>
      <c r="AB37" s="210"/>
      <c r="AC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</row>
    <row r="38" spans="2:58" ht="26.4" customHeight="1" thickBot="1" x14ac:dyDescent="0.4">
      <c r="B38" s="66"/>
      <c r="C38" s="65"/>
      <c r="F38" s="112"/>
      <c r="G38" s="112"/>
      <c r="H38" s="113" t="s">
        <v>174</v>
      </c>
      <c r="J38" s="333" t="str">
        <f>HandsOff_Basisdata!M5</f>
        <v>Eventuell / Womöglich zu viele CPs in (!) zeugnisrelevanten Vertiefungen. Bitte prüfen, ob durch Wegnahme von von 1 - n  Modulen von oberen heran näher an die 37 CP zu kommen ist!</v>
      </c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V38" s="27"/>
      <c r="W38" s="52"/>
      <c r="X38" s="52"/>
      <c r="Y38" s="52"/>
      <c r="Z38" s="52"/>
      <c r="AA38" s="346"/>
      <c r="AB38" s="210"/>
      <c r="AC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</row>
    <row r="39" spans="2:58" ht="20.399999999999999" customHeight="1" x14ac:dyDescent="0.35">
      <c r="B39" s="66"/>
      <c r="C39" s="65"/>
      <c r="F39" s="112"/>
      <c r="G39" s="112"/>
      <c r="H39" s="113" t="s">
        <v>119</v>
      </c>
      <c r="J39" s="332" t="str">
        <f>HandsOff_Basisdata!B104</f>
        <v>Anzahl VTs FPSO-konform</v>
      </c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V39" s="27"/>
      <c r="W39" s="115" t="s">
        <v>145</v>
      </c>
      <c r="X39" s="116"/>
      <c r="Y39" s="116"/>
      <c r="Z39" s="117"/>
      <c r="AA39" s="346"/>
      <c r="AB39" s="210"/>
      <c r="AC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</row>
    <row r="40" spans="2:58" ht="20.399999999999999" customHeight="1" x14ac:dyDescent="0.35">
      <c r="B40" s="66"/>
      <c r="C40" s="65"/>
      <c r="F40" s="112"/>
      <c r="G40" s="112"/>
      <c r="H40" s="113" t="s">
        <v>188</v>
      </c>
      <c r="J40" s="339" t="str">
        <f>HandsOff_Basisdata!E125</f>
        <v>T &amp; P -Module sind FPSO-konform auf die Vertiefungen verteilt</v>
      </c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V40" s="27"/>
      <c r="W40" s="118" t="s">
        <v>146</v>
      </c>
      <c r="X40" s="119"/>
      <c r="Y40" s="119"/>
      <c r="Z40" s="120"/>
      <c r="AA40" s="346"/>
      <c r="AB40" s="210"/>
      <c r="AC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</row>
    <row r="41" spans="2:58" ht="20.399999999999999" customHeight="1" thickBot="1" x14ac:dyDescent="0.4">
      <c r="B41" s="66"/>
      <c r="C41" s="65"/>
      <c r="F41" s="112"/>
      <c r="G41" s="112"/>
      <c r="H41" s="113" t="str">
        <f>"Balance zwischen den Credits der Module in den VTs"&amp;"/Score:  "&amp;ROUND(HandsOff_Basisdata!S133,2)&amp;" von max. "&amp;ROUND(HandsOff_Basisdata!T132,2)</f>
        <v>Balance zwischen den Credits der Module in den VTs/Score:  0,41 von max. 0,46</v>
      </c>
      <c r="J41" s="343" t="str">
        <f>IF(AND(HandsOff_Basisdata!S133&lt;=HandsOff_Basisdata!T132,HandsOff_Basisdata!S133&lt;&gt;0),HandsOff_Basisdata!U133,
IF(HandsOff_Basisdata!S133&gt;HandsOff_Basisdata!T132,HandsOff_Basisdata!U134,
IF(AND(HandsOff_Basisdata!S133=0,U36=0),HandsOff_Basisdata!U135,
IF(AND(HandsOff_Basisdata!S133=0,U36&gt;0),HandsOff_Basisdata!U133,
""))))</f>
        <v>Die Credits der Module in den VTs sind hinreichend ausbalanciert verteilt</v>
      </c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V41" s="27"/>
      <c r="W41" s="118" t="s">
        <v>150</v>
      </c>
      <c r="X41" s="119"/>
      <c r="Y41" s="119"/>
      <c r="Z41" s="120"/>
      <c r="AA41" s="346"/>
      <c r="AB41" s="210"/>
      <c r="AC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</row>
    <row r="42" spans="2:58" ht="16.75" customHeight="1" thickTop="1" thickBot="1" x14ac:dyDescent="0.4">
      <c r="B42" s="57" t="s">
        <v>30</v>
      </c>
      <c r="C42" s="121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122"/>
      <c r="V42" s="122"/>
      <c r="W42" s="118" t="s">
        <v>147</v>
      </c>
      <c r="X42" s="119"/>
      <c r="Y42" s="119"/>
      <c r="Z42" s="120"/>
      <c r="AA42" s="346"/>
      <c r="AB42" s="210"/>
      <c r="AC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</row>
    <row r="43" spans="2:58" ht="21" x14ac:dyDescent="0.35">
      <c r="B43" s="66"/>
      <c r="C43" s="123"/>
      <c r="D43" s="91" t="s">
        <v>9</v>
      </c>
      <c r="E43" s="303" t="str">
        <f>E9</f>
        <v>(R)egulär CS / (A)nerkannt / (B)eantragt</v>
      </c>
      <c r="F43" s="23" t="str">
        <f>F9</f>
        <v>CPs</v>
      </c>
      <c r="G43" s="302" t="str">
        <f>G9</f>
        <v>Modul
-start</v>
      </c>
      <c r="H43" s="23" t="str">
        <f>H9</f>
        <v>Note*</v>
      </c>
      <c r="I43" s="24"/>
      <c r="J43" s="124"/>
      <c r="K43" s="23"/>
      <c r="L43" s="23"/>
      <c r="M43" s="23"/>
      <c r="N43" s="23"/>
      <c r="O43" s="124" t="s">
        <v>0</v>
      </c>
      <c r="P43" s="303"/>
      <c r="Q43" s="303" t="str">
        <f>E9</f>
        <v>(R)egulär CS / (A)nerkannt / (B)eantragt</v>
      </c>
      <c r="R43" s="23" t="str">
        <f>F9</f>
        <v>CPs</v>
      </c>
      <c r="S43" s="302" t="str">
        <f>G9</f>
        <v>Modul
-start</v>
      </c>
      <c r="T43" s="23" t="str">
        <f>H9</f>
        <v>Note*</v>
      </c>
      <c r="V43" s="27"/>
      <c r="W43" s="118" t="s">
        <v>189</v>
      </c>
      <c r="X43" s="119"/>
      <c r="Y43" s="119"/>
      <c r="Z43" s="120"/>
      <c r="AA43" s="346"/>
      <c r="AB43" s="210"/>
      <c r="AC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</row>
    <row r="44" spans="2:58" x14ac:dyDescent="0.35">
      <c r="B44" s="66"/>
      <c r="C44" s="95"/>
      <c r="D44" s="30" t="s">
        <v>9</v>
      </c>
      <c r="E44" s="20" t="s">
        <v>3</v>
      </c>
      <c r="F44" s="20">
        <v>5</v>
      </c>
      <c r="G44" s="20"/>
      <c r="H44" s="29" t="s">
        <v>226</v>
      </c>
      <c r="I44" s="125"/>
      <c r="J44" s="52"/>
      <c r="K44" s="52"/>
      <c r="L44" s="52"/>
      <c r="M44" s="52"/>
      <c r="N44" s="52"/>
      <c r="O44" s="52"/>
      <c r="P44" s="126" t="s">
        <v>32</v>
      </c>
      <c r="Q44" s="304" t="s">
        <v>3</v>
      </c>
      <c r="R44" s="20">
        <v>30</v>
      </c>
      <c r="S44" s="20"/>
      <c r="T44" s="29" t="s">
        <v>226</v>
      </c>
      <c r="V44" s="27"/>
      <c r="W44" s="118" t="s">
        <v>151</v>
      </c>
      <c r="X44" s="119"/>
      <c r="Y44" s="119"/>
      <c r="Z44" s="120"/>
      <c r="AA44" s="346"/>
      <c r="AB44" s="210"/>
      <c r="AC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</row>
    <row r="45" spans="2:58" s="52" customFormat="1" ht="15" thickBot="1" x14ac:dyDescent="0.4">
      <c r="B45" s="66"/>
      <c r="C45" s="98"/>
      <c r="D45" s="25"/>
      <c r="E45" s="27"/>
      <c r="F45" s="27"/>
      <c r="G45" s="27"/>
      <c r="H45" s="28"/>
      <c r="I45" s="26"/>
      <c r="J45" s="127"/>
      <c r="K45" s="128"/>
      <c r="L45" s="128"/>
      <c r="M45" s="128"/>
      <c r="N45" s="129"/>
      <c r="O45" s="27"/>
      <c r="P45" s="25"/>
      <c r="Q45" s="27"/>
      <c r="R45" s="27"/>
      <c r="S45" s="27"/>
      <c r="T45" s="28"/>
      <c r="U45" s="26"/>
      <c r="V45" s="27"/>
      <c r="W45" s="118" t="s">
        <v>148</v>
      </c>
      <c r="X45" s="119"/>
      <c r="Y45" s="119"/>
      <c r="Z45" s="120"/>
      <c r="AA45" s="346"/>
      <c r="AB45" s="210"/>
      <c r="AC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</row>
    <row r="46" spans="2:58" s="52" customFormat="1" x14ac:dyDescent="0.35">
      <c r="B46" s="66"/>
      <c r="C46" s="101" t="str">
        <f>"Zusammenfassung " &amp;B42</f>
        <v>Zusammenfassung Wissenschaftliche Projektplanung (WPP) und Thesis</v>
      </c>
      <c r="D46" s="102"/>
      <c r="E46" s="102"/>
      <c r="F46" s="102"/>
      <c r="G46" s="102"/>
      <c r="H46" s="102"/>
      <c r="I46" s="130"/>
      <c r="J46" s="101"/>
      <c r="K46" s="102"/>
      <c r="L46" s="102"/>
      <c r="M46" s="102"/>
      <c r="N46" s="102"/>
      <c r="O46" s="102"/>
      <c r="P46" s="101"/>
      <c r="Q46" s="102"/>
      <c r="R46" s="102"/>
      <c r="S46" s="102"/>
      <c r="T46" s="102"/>
      <c r="U46" s="26"/>
      <c r="V46" s="27"/>
      <c r="W46" s="118" t="s">
        <v>149</v>
      </c>
      <c r="X46" s="119"/>
      <c r="Y46" s="119"/>
      <c r="Z46" s="120"/>
      <c r="AA46" s="346"/>
      <c r="AB46" s="210"/>
      <c r="AL46" s="131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</row>
    <row r="47" spans="2:58" x14ac:dyDescent="0.35">
      <c r="B47" s="66"/>
      <c r="C47" s="105"/>
      <c r="D47" s="132"/>
      <c r="E47" s="133" t="str">
        <f>"R: " &amp; SUMIF(E44,"R", F44)</f>
        <v>R: 5</v>
      </c>
      <c r="F47" s="133" t="str">
        <f>"A: " &amp; SUMIF(E44,"A",F44)</f>
        <v>A: 0</v>
      </c>
      <c r="G47" s="300"/>
      <c r="H47" s="133">
        <f>SUM(F44)</f>
        <v>5</v>
      </c>
      <c r="I47" s="134"/>
      <c r="J47" s="132"/>
      <c r="K47" s="132"/>
      <c r="L47" s="132"/>
      <c r="M47" s="132"/>
      <c r="N47" s="135"/>
      <c r="O47" s="136"/>
      <c r="P47" s="132"/>
      <c r="Q47" s="133" t="str">
        <f>"R: " &amp; SUMIF(Q44,"R", R44)</f>
        <v>R: 30</v>
      </c>
      <c r="R47" s="133" t="str">
        <f>"A: " &amp; SUMIF(Q44,"A",R44)</f>
        <v>A: 0</v>
      </c>
      <c r="S47" s="301"/>
      <c r="T47" s="137">
        <f>SUM(R44)</f>
        <v>30</v>
      </c>
      <c r="V47" s="52"/>
      <c r="W47" s="118"/>
      <c r="X47" s="119"/>
      <c r="Y47" s="138"/>
      <c r="Z47" s="120"/>
      <c r="AA47" s="346"/>
      <c r="AB47" s="210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</row>
    <row r="48" spans="2:58" s="52" customFormat="1" x14ac:dyDescent="0.35">
      <c r="B48" s="66"/>
      <c r="C48" s="98"/>
      <c r="D48" s="25"/>
      <c r="E48" s="27"/>
      <c r="F48" s="27"/>
      <c r="G48" s="27"/>
      <c r="H48" s="28"/>
      <c r="I48" s="26"/>
      <c r="J48" s="25"/>
      <c r="K48" s="27"/>
      <c r="L48" s="27"/>
      <c r="M48" s="27"/>
      <c r="N48" s="28"/>
      <c r="O48" s="27"/>
      <c r="P48" s="25"/>
      <c r="Q48" s="27"/>
      <c r="R48" s="27"/>
      <c r="S48" s="27"/>
      <c r="T48" s="28"/>
      <c r="U48" s="26"/>
      <c r="V48" s="27"/>
      <c r="W48" s="139" t="s">
        <v>47</v>
      </c>
      <c r="X48" s="119"/>
      <c r="Y48" s="138"/>
      <c r="Z48" s="120"/>
      <c r="AA48" s="346"/>
      <c r="AB48" s="210"/>
      <c r="AC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</row>
    <row r="49" spans="2:58" ht="15" customHeight="1" thickBot="1" x14ac:dyDescent="0.4">
      <c r="B49" s="52"/>
      <c r="C49" s="52"/>
      <c r="D49" s="52"/>
      <c r="E49" s="52"/>
      <c r="F49" s="52"/>
      <c r="G49" s="52"/>
      <c r="H49" s="52"/>
      <c r="I49" s="52"/>
      <c r="J49" s="52"/>
      <c r="K49" s="27"/>
      <c r="L49" s="27"/>
      <c r="M49" s="27"/>
      <c r="N49" s="27"/>
      <c r="O49" s="27"/>
      <c r="P49" s="27"/>
      <c r="Q49" s="331" t="str">
        <f>"Auf Basis der numerischen Noten und auf Basis von "&amp;HandsOff_Basisdata!L211&amp;" benoteten CPs ergibt sich z.Zt. eine Endnote von "&amp;ROUND(HandsOff_Basisdata!L213,2) &amp;". Verbindl. ist aber TUMonline!"</f>
        <v>Auf Basis der numerischen Noten und auf Basis von  benoteten CPs ergibt sich z.Zt. eine Endnote von 0. Verbindl. ist aber TUMonline!</v>
      </c>
      <c r="R49" s="331"/>
      <c r="S49" s="331"/>
      <c r="T49" s="331"/>
      <c r="U49" s="331"/>
      <c r="V49" s="52"/>
      <c r="W49" s="140" t="s">
        <v>48</v>
      </c>
      <c r="X49" s="119"/>
      <c r="Y49" s="138"/>
      <c r="Z49" s="120"/>
      <c r="AA49" s="346"/>
      <c r="AB49" s="210"/>
      <c r="AC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</row>
    <row r="50" spans="2:58" ht="25.75" customHeight="1" thickTop="1" thickBot="1" x14ac:dyDescent="0.4">
      <c r="B50" s="141"/>
      <c r="C50" s="121" t="s">
        <v>28</v>
      </c>
      <c r="D50" s="59"/>
      <c r="E50" s="59"/>
      <c r="F50" s="59"/>
      <c r="G50" s="59"/>
      <c r="H50" s="59"/>
      <c r="I50" s="59"/>
      <c r="J50" s="59"/>
      <c r="K50" s="61"/>
      <c r="L50" s="61"/>
      <c r="M50" s="61"/>
      <c r="N50" s="61"/>
      <c r="O50" s="142"/>
      <c r="P50" s="27"/>
      <c r="Q50" s="331"/>
      <c r="R50" s="331"/>
      <c r="S50" s="331"/>
      <c r="T50" s="331"/>
      <c r="U50" s="331"/>
      <c r="V50" s="52"/>
      <c r="W50" s="143" t="s">
        <v>49</v>
      </c>
      <c r="X50" s="144"/>
      <c r="Y50" s="145"/>
      <c r="Z50" s="146"/>
      <c r="AA50" s="346"/>
      <c r="AB50" s="210"/>
      <c r="AC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</row>
    <row r="51" spans="2:58" ht="21.5" thickBot="1" x14ac:dyDescent="0.4">
      <c r="B51" s="66"/>
      <c r="C51" s="147"/>
      <c r="D51" s="148" t="str">
        <f>D9</f>
        <v>Moduldaten(*)</v>
      </c>
      <c r="E51" s="149" t="s">
        <v>2</v>
      </c>
      <c r="F51" s="148" t="s">
        <v>1</v>
      </c>
      <c r="G51" s="290" t="str">
        <f>G9</f>
        <v>Modul
-start</v>
      </c>
      <c r="H51" s="148" t="str">
        <f>H9</f>
        <v>Note*</v>
      </c>
      <c r="J51" s="148" t="str">
        <f>D9</f>
        <v>Moduldaten(*)</v>
      </c>
      <c r="K51" s="149" t="s">
        <v>2</v>
      </c>
      <c r="L51" s="148" t="s">
        <v>1</v>
      </c>
      <c r="M51" s="290" t="str">
        <f>G9</f>
        <v>Modul
-start</v>
      </c>
      <c r="N51" s="148" t="str">
        <f>H9</f>
        <v>Note*</v>
      </c>
      <c r="P51" s="27"/>
      <c r="Q51" s="331"/>
      <c r="R51" s="331"/>
      <c r="S51" s="331"/>
      <c r="T51" s="331"/>
      <c r="U51" s="331"/>
      <c r="V51" s="52"/>
      <c r="W51" s="52"/>
      <c r="X51" s="52"/>
      <c r="Y51" s="150"/>
      <c r="Z51" s="151"/>
      <c r="AA51" s="346"/>
      <c r="AB51" s="210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</row>
    <row r="52" spans="2:58" ht="15" thickBot="1" x14ac:dyDescent="0.4">
      <c r="B52" s="66"/>
      <c r="C52" s="90" t="str">
        <f>C10</f>
        <v>Biomoleküle:</v>
      </c>
      <c r="D52" s="23"/>
      <c r="E52" s="23"/>
      <c r="F52" s="23"/>
      <c r="G52" s="23"/>
      <c r="H52" s="23"/>
      <c r="I52" s="93" t="str">
        <f>V10</f>
        <v>Carl-von Linde -Module</v>
      </c>
      <c r="J52" s="94"/>
      <c r="K52" s="94"/>
      <c r="L52" s="94"/>
      <c r="M52" s="94"/>
      <c r="N52" s="94"/>
      <c r="O52" s="94"/>
      <c r="P52" s="27"/>
      <c r="Q52" s="27"/>
      <c r="R52" s="27"/>
      <c r="S52" s="27"/>
      <c r="T52" s="27"/>
      <c r="V52" s="27"/>
      <c r="W52" s="52"/>
      <c r="X52" s="52"/>
      <c r="Y52" s="52"/>
      <c r="Z52" s="152"/>
      <c r="AA52" s="347"/>
      <c r="AB52" s="210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</row>
    <row r="53" spans="2:58" ht="16" thickTop="1" x14ac:dyDescent="0.35">
      <c r="B53" s="66"/>
      <c r="C53" s="95"/>
      <c r="D53" s="7"/>
      <c r="E53" s="8"/>
      <c r="F53" s="8"/>
      <c r="G53" s="8"/>
      <c r="H53" s="9"/>
      <c r="I53" s="153"/>
      <c r="J53" s="7"/>
      <c r="K53" s="8" t="s">
        <v>3</v>
      </c>
      <c r="L53" s="10"/>
      <c r="M53" s="8"/>
      <c r="N53" s="9"/>
      <c r="O53" s="21"/>
      <c r="P53" s="27"/>
      <c r="Q53" s="57" t="s">
        <v>22</v>
      </c>
      <c r="R53" s="121"/>
      <c r="S53" s="121"/>
      <c r="T53" s="59"/>
      <c r="U53" s="59"/>
      <c r="V53" s="59"/>
      <c r="W53" s="59"/>
      <c r="X53" s="59"/>
      <c r="Y53" s="59"/>
      <c r="Z53" s="59"/>
      <c r="AA53" s="59"/>
      <c r="AB53" s="210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</row>
    <row r="54" spans="2:58" x14ac:dyDescent="0.35">
      <c r="B54" s="66"/>
      <c r="C54" s="95"/>
      <c r="D54" s="12"/>
      <c r="E54" s="11"/>
      <c r="F54" s="11"/>
      <c r="G54" s="11"/>
      <c r="H54" s="14"/>
      <c r="I54" s="153"/>
      <c r="J54" s="12"/>
      <c r="K54" s="11"/>
      <c r="L54" s="11"/>
      <c r="M54" s="11"/>
      <c r="N54" s="14"/>
      <c r="O54" s="22"/>
      <c r="P54" s="27"/>
      <c r="Q54" s="66"/>
      <c r="R54" s="27"/>
      <c r="S54" s="27"/>
      <c r="T54" s="113" t="s">
        <v>29</v>
      </c>
      <c r="V54" s="27"/>
      <c r="W54" s="154" t="s">
        <v>16</v>
      </c>
      <c r="Y54" s="52"/>
      <c r="Z54" s="52"/>
      <c r="AA54" s="52"/>
      <c r="AB54" s="210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</row>
    <row r="55" spans="2:58" s="52" customFormat="1" ht="15" thickBot="1" x14ac:dyDescent="0.4">
      <c r="B55" s="66"/>
      <c r="C55" s="98"/>
      <c r="D55" s="25"/>
      <c r="E55" s="27"/>
      <c r="F55" s="27"/>
      <c r="G55" s="27"/>
      <c r="H55" s="28"/>
      <c r="I55" s="26"/>
      <c r="J55" s="98"/>
      <c r="K55" s="25"/>
      <c r="L55" s="27"/>
      <c r="M55" s="27"/>
      <c r="N55" s="27"/>
      <c r="P55" s="27"/>
      <c r="Q55" s="155" t="s">
        <v>18</v>
      </c>
      <c r="R55" s="156"/>
      <c r="S55" s="156"/>
      <c r="T55" s="157">
        <f>H36</f>
        <v>30</v>
      </c>
      <c r="U55" s="156"/>
      <c r="V55" s="156"/>
      <c r="W55" s="158" t="str">
        <f>T55 &amp; " von " &amp; HandsOff_Basisdata!C1 &amp;  " CP"</f>
        <v>30 von 40 CP</v>
      </c>
      <c r="X55" s="352" t="str">
        <f>IF(HandsOff_Basisdata!C1&gt;T55,HandsOff_Basisdata!A11,IF(HandsOff_Basisdata!E1&lt;T55,HandsOff_Basisdata!A13,HandsOff_Basisdata!A12))</f>
        <v>Mindest-CPs NICHT erreicht</v>
      </c>
      <c r="Y55" s="352"/>
      <c r="Z55" s="352"/>
      <c r="AA55" s="352"/>
      <c r="AB55" s="210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</row>
    <row r="56" spans="2:58" ht="15" thickBot="1" x14ac:dyDescent="0.4">
      <c r="B56" s="66"/>
      <c r="C56" s="90" t="str">
        <f>C15</f>
        <v>Zellen:</v>
      </c>
      <c r="D56" s="23"/>
      <c r="E56" s="23"/>
      <c r="F56" s="23"/>
      <c r="G56" s="23"/>
      <c r="H56" s="23"/>
      <c r="I56" s="93" t="str">
        <f>V15</f>
        <v>UnternehmerTUM -Module</v>
      </c>
      <c r="J56" s="94"/>
      <c r="K56" s="94"/>
      <c r="L56" s="94"/>
      <c r="M56" s="94"/>
      <c r="N56" s="94"/>
      <c r="P56" s="27"/>
      <c r="Q56" s="159" t="s">
        <v>19</v>
      </c>
      <c r="R56" s="160"/>
      <c r="S56" s="160"/>
      <c r="T56" s="161">
        <f>N36+T36</f>
        <v>40</v>
      </c>
      <c r="U56" s="160"/>
      <c r="V56" s="160"/>
      <c r="W56" s="162" t="str">
        <f>T56 &amp; " von " &amp; HandsOff_Basisdata!C5 &amp;  " CP"</f>
        <v>40 von 37 CP</v>
      </c>
      <c r="X56" s="163"/>
      <c r="Y56" s="351" t="str">
        <f>IF(HandsOff_Basisdata!C5&gt;T56,HandsOff_Basisdata!$A$11,HandsOff_Basisdata!$A$12)</f>
        <v>CPs (min.) gemäß FPSO-Vorgabe</v>
      </c>
      <c r="Z56" s="351"/>
      <c r="AA56" s="351"/>
      <c r="AB56" s="210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</row>
    <row r="57" spans="2:58" x14ac:dyDescent="0.35">
      <c r="B57" s="66"/>
      <c r="C57" s="95"/>
      <c r="D57" s="7"/>
      <c r="E57" s="8"/>
      <c r="F57" s="8"/>
      <c r="G57" s="8"/>
      <c r="H57" s="9"/>
      <c r="I57" s="153"/>
      <c r="J57" s="7"/>
      <c r="K57" s="8"/>
      <c r="L57" s="8"/>
      <c r="M57" s="8"/>
      <c r="N57" s="9"/>
      <c r="P57" s="27"/>
      <c r="Q57" s="66" t="s">
        <v>210</v>
      </c>
      <c r="R57" s="164"/>
      <c r="S57" s="164"/>
      <c r="T57" s="165">
        <f>N36</f>
        <v>20</v>
      </c>
      <c r="U57" s="166"/>
      <c r="V57" s="167"/>
      <c r="W57" s="168" t="str">
        <f>T57 &amp; " von " &amp; HandsOff_Basisdata!C2 &amp;  " CP" &amp; " - " &amp;HandsOff_Basisdata!E2 &amp; " CP"</f>
        <v>20 von 12 CP - 22 CP</v>
      </c>
      <c r="X57" s="166"/>
      <c r="Y57" s="361" t="str">
        <f>IF(HandsOff_Basisdata!C2&gt;T57, HandsOff_Basisdata!$A$11,HandsOff_Basisdata!$A$12)</f>
        <v>CPs (min.) gemäß FPSO-Vorgabe</v>
      </c>
      <c r="Z57" s="361"/>
      <c r="AA57" s="361"/>
      <c r="AB57" s="210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</row>
    <row r="58" spans="2:58" x14ac:dyDescent="0.35">
      <c r="B58" s="66"/>
      <c r="C58" s="95"/>
      <c r="D58" s="12"/>
      <c r="E58" s="11"/>
      <c r="F58" s="11"/>
      <c r="G58" s="11"/>
      <c r="H58" s="14"/>
      <c r="I58" s="153"/>
      <c r="J58" s="12"/>
      <c r="K58" s="11"/>
      <c r="L58" s="11"/>
      <c r="M58" s="11"/>
      <c r="N58" s="14"/>
      <c r="P58" s="27"/>
      <c r="Q58" s="66"/>
      <c r="R58" s="164"/>
      <c r="S58" s="169"/>
      <c r="T58" s="52"/>
      <c r="U58" s="170" t="s">
        <v>203</v>
      </c>
      <c r="V58" s="27"/>
      <c r="W58" s="365" t="str">
        <f>IF(T$57&lt;HandsOff_Basisdata!C2,HandsOff_Basisdata!G2,IF(AND(T$57&gt;=HandsOff_Basisdata!C2,T$57&lt;=HandsOff_Basisdata!E2),HandsOff_Basisdata!M2,IF(AND(T$57&gt;=HandsOff_Basisdata!C2,T$57&gt;HandsOff_Basisdata!E2),HandsOff_Basisdata!T2)))</f>
        <v>Sowohl Mindest- (als auch Maximal CPs) bei VTt  FPSO-konform</v>
      </c>
      <c r="X58" s="365"/>
      <c r="Y58" s="365"/>
      <c r="Z58" s="365"/>
      <c r="AA58" s="365"/>
      <c r="AB58" s="210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</row>
    <row r="59" spans="2:58" s="52" customFormat="1" ht="15" thickBot="1" x14ac:dyDescent="0.4">
      <c r="B59" s="66"/>
      <c r="C59" s="98"/>
      <c r="D59" s="25"/>
      <c r="E59" s="27"/>
      <c r="F59" s="27"/>
      <c r="G59" s="27"/>
      <c r="H59" s="28"/>
      <c r="I59" s="26"/>
      <c r="J59" s="98"/>
      <c r="K59" s="25"/>
      <c r="L59" s="27"/>
      <c r="M59" s="27"/>
      <c r="N59" s="27"/>
      <c r="O59" s="112"/>
      <c r="P59" s="27"/>
      <c r="Q59" s="159"/>
      <c r="R59" s="171"/>
      <c r="S59" s="172"/>
      <c r="T59" s="173"/>
      <c r="U59" s="174" t="s">
        <v>204</v>
      </c>
      <c r="V59" s="160"/>
      <c r="W59" s="366" t="str">
        <f>IF(T$57&lt;HandsOff_Basisdata!C2,HandsOff_Basisdata!AA2,IF(T$57&lt;=HandsOff_Basisdata!E2,HandsOff_Basisdata!AE2,IF(T$57&gt;HandsOff_Basisdata!E2,HandsOff_Basisdata!AH2,"")))</f>
        <v>Maximum-CPs bei VTt FPSO-konform</v>
      </c>
      <c r="X59" s="366"/>
      <c r="Y59" s="366"/>
      <c r="Z59" s="366"/>
      <c r="AA59" s="366"/>
      <c r="AB59" s="210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</row>
    <row r="60" spans="2:58" x14ac:dyDescent="0.35">
      <c r="B60" s="66"/>
      <c r="C60" s="90" t="str">
        <f>C20</f>
        <v>Organsimen:</v>
      </c>
      <c r="D60" s="23"/>
      <c r="E60" s="23"/>
      <c r="F60" s="23"/>
      <c r="G60" s="23"/>
      <c r="H60" s="23"/>
      <c r="I60" s="93" t="str">
        <f>V20</f>
        <v>WZ / TUM SoLS - Module</v>
      </c>
      <c r="J60" s="94"/>
      <c r="K60" s="94"/>
      <c r="L60" s="94"/>
      <c r="M60" s="94"/>
      <c r="N60" s="94"/>
      <c r="O60" s="94"/>
      <c r="P60" s="27"/>
      <c r="Q60" s="175" t="s">
        <v>211</v>
      </c>
      <c r="R60" s="176"/>
      <c r="S60" s="176"/>
      <c r="T60" s="177">
        <f>T36</f>
        <v>20</v>
      </c>
      <c r="U60" s="166"/>
      <c r="V60" s="178"/>
      <c r="W60" s="179" t="str">
        <f>T60 &amp; " von " &amp; HandsOff_Basisdata!C3 &amp;  " CP" &amp; " - " &amp;HandsOff_Basisdata!E3 &amp; " CP"</f>
        <v>20 von 15 CP - 25 CP</v>
      </c>
      <c r="X60" s="180"/>
      <c r="Y60" s="360" t="str">
        <f>IF(HandsOff_Basisdata!C3&gt;T60, HandsOff_Basisdata!$A$11,HandsOff_Basisdata!$A$12)</f>
        <v>CPs (min.) gemäß FPSO-Vorgabe</v>
      </c>
      <c r="Z60" s="360"/>
      <c r="AA60" s="360"/>
      <c r="AB60" s="210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</row>
    <row r="61" spans="2:58" x14ac:dyDescent="0.35">
      <c r="B61" s="66"/>
      <c r="C61" s="95"/>
      <c r="D61" s="7"/>
      <c r="E61" s="8"/>
      <c r="F61" s="8"/>
      <c r="G61" s="8"/>
      <c r="H61" s="9"/>
      <c r="I61" s="153"/>
      <c r="J61" s="7"/>
      <c r="K61" s="8"/>
      <c r="L61" s="8"/>
      <c r="M61" s="8"/>
      <c r="N61" s="9"/>
      <c r="O61" s="21"/>
      <c r="P61" s="27"/>
      <c r="Q61" s="181"/>
      <c r="S61" s="113"/>
      <c r="U61" s="170" t="s">
        <v>202</v>
      </c>
      <c r="V61" s="182"/>
      <c r="W61" s="365" t="str">
        <f>IF(T$60&lt;HandsOff_Basisdata!C3,HandsOff_Basisdata!G3,IF(AND(T$60&gt;=HandsOff_Basisdata!C3,T$60&lt;=HandsOff_Basisdata!E3),HandsOff_Basisdata!M3,IF(AND(T$60&gt;=HandsOff_Basisdata!C3,T$60&gt;HandsOff_Basisdata!E3),HandsOff_Basisdata!T3)))</f>
        <v>Sowohl Mindest- (als auch Maximal CPs) bei VTp  FPSO-konform</v>
      </c>
      <c r="X61" s="365"/>
      <c r="Y61" s="365"/>
      <c r="Z61" s="365"/>
      <c r="AA61" s="365"/>
      <c r="AB61" s="210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2:58" ht="15" thickBot="1" x14ac:dyDescent="0.4">
      <c r="B62" s="66"/>
      <c r="C62" s="95"/>
      <c r="D62" s="12"/>
      <c r="E62" s="11"/>
      <c r="F62" s="11"/>
      <c r="G62" s="11"/>
      <c r="H62" s="14"/>
      <c r="I62" s="153"/>
      <c r="J62" s="12"/>
      <c r="K62" s="11"/>
      <c r="L62" s="11"/>
      <c r="M62" s="11"/>
      <c r="N62" s="14"/>
      <c r="O62" s="22"/>
      <c r="P62" s="27"/>
      <c r="Q62" s="183"/>
      <c r="R62" s="184"/>
      <c r="S62" s="113"/>
      <c r="U62" s="174" t="s">
        <v>198</v>
      </c>
      <c r="V62" s="182"/>
      <c r="W62" s="365" t="str">
        <f>IF(T$60&lt;HandsOff_Basisdata!C3,HandsOff_Basisdata!AA3,IF(T$60&lt;=HandsOff_Basisdata!E3,HandsOff_Basisdata!AE3,IF(T$60&gt;HandsOff_Basisdata!E3,HandsOff_Basisdata!AH3,"")))</f>
        <v>Maximum-CPs bei VTp FPSO-konform</v>
      </c>
      <c r="X62" s="365"/>
      <c r="Y62" s="365"/>
      <c r="Z62" s="365"/>
      <c r="AA62" s="365"/>
      <c r="AB62" s="210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2:58" s="52" customFormat="1" ht="15" thickBot="1" x14ac:dyDescent="0.4">
      <c r="B63" s="66"/>
      <c r="C63" s="98"/>
      <c r="D63" s="25"/>
      <c r="E63" s="27"/>
      <c r="F63" s="27"/>
      <c r="G63" s="27"/>
      <c r="H63" s="28"/>
      <c r="I63" s="26"/>
      <c r="J63" s="26"/>
      <c r="K63" s="98"/>
      <c r="L63" s="25"/>
      <c r="M63" s="25"/>
      <c r="N63" s="27"/>
      <c r="O63" s="27"/>
      <c r="P63" s="27"/>
      <c r="Q63" s="185" t="s">
        <v>199</v>
      </c>
      <c r="R63" s="27"/>
      <c r="S63" s="27"/>
      <c r="T63" s="364" t="str">
        <f>J39</f>
        <v>Anzahl VTs FPSO-konform</v>
      </c>
      <c r="U63" s="364"/>
      <c r="V63" s="364"/>
      <c r="W63" s="364"/>
      <c r="X63" s="364"/>
      <c r="Y63" s="364"/>
      <c r="Z63" s="364"/>
      <c r="AA63" s="364"/>
      <c r="AB63" s="210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</row>
    <row r="64" spans="2:58" x14ac:dyDescent="0.35">
      <c r="B64" s="66"/>
      <c r="C64" s="90" t="str">
        <f>C25</f>
        <v>Medizin:</v>
      </c>
      <c r="D64" s="23"/>
      <c r="E64" s="23"/>
      <c r="F64" s="23"/>
      <c r="G64" s="23"/>
      <c r="H64" s="23"/>
      <c r="I64" s="93" t="str">
        <f>V25</f>
        <v>Sprachenzentrum</v>
      </c>
      <c r="J64" s="94"/>
      <c r="K64" s="94"/>
      <c r="L64" s="94"/>
      <c r="M64" s="94"/>
      <c r="N64" s="94"/>
      <c r="P64" s="27"/>
      <c r="Q64" s="186" t="s">
        <v>200</v>
      </c>
      <c r="R64" s="187"/>
      <c r="S64" s="340" t="str">
        <f>J40</f>
        <v>T &amp; P -Module sind FPSO-konform auf die Vertiefungen verteilt</v>
      </c>
      <c r="T64" s="340"/>
      <c r="U64" s="340"/>
      <c r="V64" s="340"/>
      <c r="W64" s="340"/>
      <c r="X64" s="340"/>
      <c r="Y64" s="340"/>
      <c r="Z64" s="340"/>
      <c r="AA64" s="340"/>
      <c r="AB64" s="210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  <row r="65" spans="1:58" x14ac:dyDescent="0.35">
      <c r="B65" s="66"/>
      <c r="C65" s="95"/>
      <c r="D65" s="19"/>
      <c r="E65" s="11"/>
      <c r="F65" s="11"/>
      <c r="G65" s="11"/>
      <c r="H65" s="14"/>
      <c r="I65" s="153"/>
      <c r="J65" s="7"/>
      <c r="K65" s="8"/>
      <c r="L65" s="8"/>
      <c r="M65" s="8"/>
      <c r="N65" s="9"/>
      <c r="P65" s="27"/>
      <c r="Q65" s="186" t="s">
        <v>201</v>
      </c>
      <c r="R65" s="363" t="str">
        <f>J41</f>
        <v>Die Credits der Module in den VTs sind hinreichend ausbalanciert verteilt</v>
      </c>
      <c r="S65" s="363"/>
      <c r="T65" s="363"/>
      <c r="U65" s="363"/>
      <c r="V65" s="363"/>
      <c r="W65" s="363"/>
      <c r="X65" s="363"/>
      <c r="Y65" s="363"/>
      <c r="Z65" s="363"/>
      <c r="AA65" s="363"/>
      <c r="AB65" s="210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  <row r="66" spans="1:58" x14ac:dyDescent="0.35">
      <c r="B66" s="66"/>
      <c r="C66" s="95"/>
      <c r="D66" s="12"/>
      <c r="E66" s="11"/>
      <c r="F66" s="11"/>
      <c r="G66" s="11"/>
      <c r="H66" s="14"/>
      <c r="I66" s="153"/>
      <c r="J66" s="12"/>
      <c r="K66" s="11"/>
      <c r="L66" s="11"/>
      <c r="M66" s="11"/>
      <c r="N66" s="14"/>
      <c r="P66" s="27"/>
      <c r="Q66" s="186" t="s">
        <v>20</v>
      </c>
      <c r="R66" s="188"/>
      <c r="S66" s="188"/>
      <c r="T66" s="189">
        <f>AA36</f>
        <v>3</v>
      </c>
      <c r="U66" s="190"/>
      <c r="V66" s="190"/>
      <c r="W66" s="191" t="str">
        <f>T66 &amp; " von " &amp; HandsOff_Basisdata!C6 &amp;  " CP"</f>
        <v>3 von 8 CP</v>
      </c>
      <c r="X66" s="192"/>
      <c r="Y66" s="362" t="str">
        <f>IF(HandsOff_Basisdata!C6&gt;T66,HandsOff_Basisdata!A11,HandsOff_Basisdata!A12)</f>
        <v>Mindest-CPs NICHT erreicht</v>
      </c>
      <c r="Z66" s="362"/>
      <c r="AA66" s="362"/>
      <c r="AB66" s="210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</row>
    <row r="67" spans="1:58" s="52" customFormat="1" ht="15" thickBot="1" x14ac:dyDescent="0.4">
      <c r="B67" s="66"/>
      <c r="C67" s="98"/>
      <c r="D67" s="25"/>
      <c r="E67" s="27"/>
      <c r="F67" s="27"/>
      <c r="G67" s="27"/>
      <c r="H67" s="28"/>
      <c r="I67" s="26"/>
      <c r="J67" s="98"/>
      <c r="K67" s="25"/>
      <c r="L67" s="27"/>
      <c r="M67" s="27"/>
      <c r="N67" s="27"/>
      <c r="O67" s="112"/>
      <c r="P67" s="27"/>
      <c r="Q67" s="186" t="s">
        <v>15</v>
      </c>
      <c r="R67" s="188"/>
      <c r="S67" s="188"/>
      <c r="T67" s="189">
        <f>H47</f>
        <v>5</v>
      </c>
      <c r="U67" s="190"/>
      <c r="V67" s="190"/>
      <c r="W67" s="191" t="str">
        <f>T67 &amp; " von " &amp; HandsOff_Basisdata!C7 &amp;  " CP"</f>
        <v>5 von 5 CP</v>
      </c>
      <c r="X67" s="193"/>
      <c r="Y67" s="359" t="str">
        <f>IF(HandsOff_Basisdata!C7&gt;T67,HandsOff_Basisdata!A11,HandsOff_Basisdata!A12)</f>
        <v>CPs (min.) gemäß FPSO-Vorgabe</v>
      </c>
      <c r="Z67" s="359"/>
      <c r="AA67" s="359"/>
      <c r="AB67" s="210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</row>
    <row r="68" spans="1:58" x14ac:dyDescent="0.35">
      <c r="B68" s="66"/>
      <c r="C68" s="90" t="str">
        <f>C30</f>
        <v>Technik:</v>
      </c>
      <c r="D68" s="23"/>
      <c r="E68" s="23"/>
      <c r="F68" s="23"/>
      <c r="G68" s="23"/>
      <c r="H68" s="23"/>
      <c r="I68" s="93" t="str">
        <f>V30</f>
        <v>Andere Module</v>
      </c>
      <c r="J68" s="94"/>
      <c r="K68" s="94"/>
      <c r="L68" s="94"/>
      <c r="M68" s="94"/>
      <c r="N68" s="94"/>
      <c r="P68" s="27"/>
      <c r="Q68" s="186" t="s">
        <v>0</v>
      </c>
      <c r="R68" s="188"/>
      <c r="S68" s="188"/>
      <c r="T68" s="189">
        <f>T47</f>
        <v>30</v>
      </c>
      <c r="U68" s="190"/>
      <c r="V68" s="190"/>
      <c r="W68" s="191" t="str">
        <f>T68 &amp; " von " &amp; HandsOff_Basisdata!C8 &amp;  " CP"</f>
        <v>30 von 30 CP</v>
      </c>
      <c r="X68" s="193"/>
      <c r="Y68" s="360" t="str">
        <f>IF(HandsOff_Basisdata!C8&gt;T68,HandsOff_Basisdata!A11,HandsOff_Basisdata!A12)</f>
        <v>CPs (min.) gemäß FPSO-Vorgabe</v>
      </c>
      <c r="Z68" s="360"/>
      <c r="AA68" s="360"/>
      <c r="AB68" s="210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</row>
    <row r="69" spans="1:58" x14ac:dyDescent="0.35">
      <c r="B69" s="66"/>
      <c r="C69" s="95"/>
      <c r="D69" s="12"/>
      <c r="E69" s="11"/>
      <c r="F69" s="11"/>
      <c r="G69" s="11"/>
      <c r="H69" s="14"/>
      <c r="I69" s="153"/>
      <c r="J69" s="7"/>
      <c r="K69" s="8"/>
      <c r="L69" s="8"/>
      <c r="M69" s="8"/>
      <c r="N69" s="9"/>
      <c r="P69" s="27"/>
      <c r="Q69" s="194" t="s">
        <v>68</v>
      </c>
      <c r="R69" s="27"/>
      <c r="S69" s="27"/>
      <c r="V69" s="27"/>
      <c r="W69" s="195"/>
      <c r="X69" s="52"/>
      <c r="Y69" s="52"/>
      <c r="Z69" s="52"/>
      <c r="AA69" s="113"/>
      <c r="AB69" s="210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</row>
    <row r="70" spans="1:58" ht="15" thickBot="1" x14ac:dyDescent="0.4">
      <c r="B70" s="66"/>
      <c r="C70" s="95"/>
      <c r="D70" s="12"/>
      <c r="E70" s="11"/>
      <c r="F70" s="11"/>
      <c r="G70" s="11"/>
      <c r="H70" s="14"/>
      <c r="I70" s="153"/>
      <c r="J70" s="12"/>
      <c r="K70" s="11"/>
      <c r="L70" s="11"/>
      <c r="M70" s="11"/>
      <c r="N70" s="14"/>
      <c r="P70" s="27"/>
      <c r="Q70" s="196" t="s">
        <v>66</v>
      </c>
      <c r="R70" s="156"/>
      <c r="S70" s="156"/>
      <c r="T70" s="157">
        <f>SUM(T55:T68)-T56</f>
        <v>108</v>
      </c>
      <c r="U70" s="197"/>
      <c r="V70" s="198"/>
      <c r="W70" s="158" t="str">
        <f>T70 &amp; " von " &amp; HandsOff_Basisdata!C9 &amp;  " CP"</f>
        <v>108 von 120 CP</v>
      </c>
      <c r="X70" s="199"/>
      <c r="Y70" s="358" t="str">
        <f>IF(HandsOff_Basisdata!C9&gt;T70,HandsOff_Basisdata!A11,HandsOff_Basisdata!A12)</f>
        <v>Mindest-CPs NICHT erreicht</v>
      </c>
      <c r="Z70" s="358"/>
      <c r="AA70" s="358"/>
      <c r="AB70" s="210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</row>
    <row r="71" spans="1:58" ht="15.5" x14ac:dyDescent="0.35">
      <c r="B71" s="66"/>
      <c r="C71" s="101" t="str">
        <f>"Zusammenfassung " &amp;C50</f>
        <v>Zusammenfassung NICHT-ZEUGNISRELEVANTE Module (Zusatzmodule)</v>
      </c>
      <c r="D71" s="102"/>
      <c r="E71" s="102"/>
      <c r="F71" s="102"/>
      <c r="G71" s="102"/>
      <c r="H71" s="102"/>
      <c r="I71" s="73"/>
      <c r="J71" s="101" t="str">
        <f>"Zusammenfassung " &amp;C50</f>
        <v>Zusammenfassung NICHT-ZEUGNISRELEVANTE Module (Zusatzmodule)</v>
      </c>
      <c r="K71" s="102"/>
      <c r="L71" s="102"/>
      <c r="M71" s="102"/>
      <c r="N71" s="102"/>
      <c r="O71" s="73"/>
      <c r="P71" s="200" t="s">
        <v>191</v>
      </c>
      <c r="Q71" s="36" t="s">
        <v>250</v>
      </c>
      <c r="R71" s="27"/>
      <c r="S71" s="27"/>
      <c r="T71" s="27"/>
      <c r="V71" s="27"/>
      <c r="W71" s="52"/>
      <c r="X71" s="353" t="str">
        <f>"* "&amp;D9&amp;" im VT.Bereich: Bitte immer vollst. Angaben nach Muster """&amp;"Zellproteinfaltkurs (NN Modulvernatwortliche:r) / WZ4711"</f>
        <v>* Moduldaten(*) im VT.Bereich: Bitte immer vollst. Angaben nach Muster "Zellproteinfaltkurs (NN Modulvernatwortliche:r) / WZ4711</v>
      </c>
      <c r="Y71" s="353"/>
      <c r="Z71" s="353"/>
      <c r="AA71" s="353"/>
      <c r="AB71" s="210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</row>
    <row r="72" spans="1:58" ht="14.5" customHeight="1" x14ac:dyDescent="0.35">
      <c r="B72" s="66"/>
      <c r="C72" s="105"/>
      <c r="D72" s="111" t="s">
        <v>36</v>
      </c>
      <c r="E72" s="111" t="str">
        <f>"R: " &amp; SUMIF(E52:E70,"R", F52:F70)</f>
        <v>R: 0</v>
      </c>
      <c r="F72" s="111" t="str">
        <f>"A: " &amp; SUMIF(E52:E70,"A",F52:F70)</f>
        <v>A: 0</v>
      </c>
      <c r="G72" s="111"/>
      <c r="H72" s="111">
        <f>SUM(F52:F70)</f>
        <v>0</v>
      </c>
      <c r="I72" s="108"/>
      <c r="J72" s="111" t="str">
        <f>D72</f>
        <v>NUR: (R)eguläre Module zulässig  / CP-Summe</v>
      </c>
      <c r="K72" s="111" t="str">
        <f>"R: " &amp; SUMIF(K52:K70,"R", L52:L70)</f>
        <v>R: 0</v>
      </c>
      <c r="L72" s="111" t="str">
        <f>"A: " &amp; SUMIF(K52:K70,"A",L52:L70)</f>
        <v>A: 0</v>
      </c>
      <c r="M72" s="111"/>
      <c r="N72" s="111">
        <f>SUM(L52:L70)</f>
        <v>0</v>
      </c>
      <c r="O72" s="108"/>
      <c r="P72" s="356" t="str">
        <f ca="1">MID(CELL("Dateiname",A1),SEARCH("[",CELL("Dateiname",A1),1)+1,SEARCH("]",CELL("Dateiname",A1),1)-SEARCH("[",CELL("Dateiname",A1),1)-1)</f>
        <v>20221013_MBtMSc_NN.VN_ver.20221013 - Weiterentwicklung.xlsx</v>
      </c>
      <c r="Q72" s="356"/>
      <c r="R72" s="356"/>
      <c r="S72" s="356"/>
      <c r="T72" s="356"/>
      <c r="U72" s="356"/>
      <c r="V72" s="356"/>
      <c r="W72" s="356"/>
      <c r="X72" s="354"/>
      <c r="Y72" s="354"/>
      <c r="Z72" s="354"/>
      <c r="AA72" s="354"/>
      <c r="AB72" s="210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</row>
    <row r="73" spans="1:58" ht="14.5" customHeight="1" thickBot="1" x14ac:dyDescent="0.4">
      <c r="A73" s="201"/>
      <c r="B73" s="202"/>
      <c r="C73" s="202"/>
      <c r="D73" s="202" t="s">
        <v>256</v>
      </c>
      <c r="E73" s="202"/>
      <c r="F73" s="203"/>
      <c r="G73" s="203"/>
      <c r="H73" s="203"/>
      <c r="I73" s="202"/>
      <c r="J73" s="202"/>
      <c r="K73" s="203"/>
      <c r="L73" s="203"/>
      <c r="M73" s="203"/>
      <c r="N73" s="203"/>
      <c r="O73" s="204"/>
      <c r="P73" s="357"/>
      <c r="Q73" s="357"/>
      <c r="R73" s="357"/>
      <c r="S73" s="357"/>
      <c r="T73" s="357"/>
      <c r="U73" s="357"/>
      <c r="V73" s="357"/>
      <c r="W73" s="357"/>
      <c r="X73" s="355"/>
      <c r="Y73" s="355"/>
      <c r="Z73" s="355"/>
      <c r="AA73" s="355"/>
      <c r="AB73" s="210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</row>
    <row r="74" spans="1:58" ht="15" thickTop="1" x14ac:dyDescent="0.35">
      <c r="Q74" s="27"/>
      <c r="R74" s="27"/>
      <c r="S74" s="27"/>
      <c r="T74" s="27"/>
      <c r="V74" s="27"/>
      <c r="W74" s="52"/>
      <c r="X74" s="52"/>
      <c r="Y74" s="52"/>
      <c r="Z74" s="52"/>
      <c r="AA74" s="52"/>
    </row>
    <row r="75" spans="1:58" x14ac:dyDescent="0.35">
      <c r="Q75" s="27"/>
      <c r="R75" s="27"/>
      <c r="S75" s="27"/>
      <c r="T75" s="27"/>
      <c r="V75" s="27"/>
      <c r="W75" s="52"/>
      <c r="X75" s="52"/>
      <c r="Y75" s="52"/>
      <c r="Z75" s="52"/>
    </row>
  </sheetData>
  <sheetProtection algorithmName="SHA-512" hashValue="E+62j6qdvD5cxfrw+H4DeD2zdv8kyv2vgfHvv1Yfh8+flidw90ornG1Ng0OamLKV9dgIca2zkwO991+LFjxHMQ==" saltValue="hUvmy6uOcDTjr4qo+t6tkQ==" spinCount="100000" sheet="1" selectLockedCells="1"/>
  <mergeCells count="44">
    <mergeCell ref="X55:AA55"/>
    <mergeCell ref="X71:AA73"/>
    <mergeCell ref="P72:W73"/>
    <mergeCell ref="Y70:AA70"/>
    <mergeCell ref="Y67:AA67"/>
    <mergeCell ref="Y68:AA68"/>
    <mergeCell ref="Y57:AA57"/>
    <mergeCell ref="Y60:AA60"/>
    <mergeCell ref="Y66:AA66"/>
    <mergeCell ref="R65:AA65"/>
    <mergeCell ref="T63:AA63"/>
    <mergeCell ref="W62:AA62"/>
    <mergeCell ref="W61:AA61"/>
    <mergeCell ref="W58:AA58"/>
    <mergeCell ref="W59:AA59"/>
    <mergeCell ref="D3:H3"/>
    <mergeCell ref="J40:T40"/>
    <mergeCell ref="S64:AA64"/>
    <mergeCell ref="D13:H14"/>
    <mergeCell ref="D18:H19"/>
    <mergeCell ref="D23:H24"/>
    <mergeCell ref="D28:H29"/>
    <mergeCell ref="D33:H34"/>
    <mergeCell ref="J41:T41"/>
    <mergeCell ref="J3:L3"/>
    <mergeCell ref="J5:L5"/>
    <mergeCell ref="AA37:AA52"/>
    <mergeCell ref="Y1:AA6"/>
    <mergeCell ref="J37:N37"/>
    <mergeCell ref="U8:U9"/>
    <mergeCell ref="Y56:AA56"/>
    <mergeCell ref="W34:AA34"/>
    <mergeCell ref="U30:U33"/>
    <mergeCell ref="U10:U13"/>
    <mergeCell ref="U15:U18"/>
    <mergeCell ref="U20:U23"/>
    <mergeCell ref="U25:U28"/>
    <mergeCell ref="R5:T5"/>
    <mergeCell ref="R3:T3"/>
    <mergeCell ref="R6:T6"/>
    <mergeCell ref="Q49:U51"/>
    <mergeCell ref="J39:T39"/>
    <mergeCell ref="J38:T38"/>
    <mergeCell ref="P37:T37"/>
  </mergeCells>
  <printOptions gridLines="1"/>
  <pageMargins left="0.27559055118110237" right="0.19685039370078741" top="0.39370078740157483" bottom="0.27559055118110237" header="0.15748031496062992" footer="0.19685039370078741"/>
  <pageSetup paperSize="9" scale="40" orientation="landscape" horizontalDpi="4294967293" r:id="rId1"/>
  <headerFooter>
    <oddFooter>&amp;L&amp;D&amp;R&amp;F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78" operator="equal" id="{BDAA0E74-93DF-4B2D-90EA-95BBDB47E381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79" operator="equal" id="{136A0B30-728B-4F39-8F98-618B3C21F46D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ellIs" priority="656" operator="equal" id="{9CDC7F32-C763-490C-9D3D-D15B221C3F0A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57" operator="equal" id="{EA8418E7-8508-44CB-A88F-7581AF997B19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ellIs" priority="592" operator="equal" id="{E80C6803-53D5-4182-8149-B3F6C12DAA9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93" operator="equal" id="{9272C5AE-157C-41C1-97B7-6B7AA60BE54A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cellIs" priority="570" operator="equal" id="{748D257B-472A-428A-BD0F-77B016BBE50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71" operator="equal" id="{A04BD6D6-7439-4877-8AD9-5C1628BEBF0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I31:I33</xm:sqref>
        </x14:conditionalFormatting>
        <x14:conditionalFormatting xmlns:xm="http://schemas.microsoft.com/office/excel/2006/main">
          <x14:cfRule type="cellIs" priority="648" operator="equal" id="{0C7ABE58-D1DA-4775-8B6F-3BB109DA3EC9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49" operator="equal" id="{CBDAB53A-58C9-4EBD-8F42-18651FB066FC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I11:I13</xm:sqref>
        </x14:conditionalFormatting>
        <x14:conditionalFormatting xmlns:xm="http://schemas.microsoft.com/office/excel/2006/main">
          <x14:cfRule type="cellIs" priority="646" operator="equal" id="{857B2F39-70FB-459C-85FB-65E12864EC94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47" operator="equal" id="{EBE60215-7C38-4024-8479-EFB4DC699E4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ellIs" priority="644" operator="equal" id="{A5A02075-F0B6-4216-B705-22A4108DB7C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45" operator="equal" id="{38BAEE4A-E3F6-4D22-B078-24F502660D7B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568" operator="equal" id="{E119CB3C-BCB7-4214-BAD9-34F70EB300C2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69" operator="equal" id="{E099669E-EE1F-4EA4-B3F8-166A778EC14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566" operator="equal" id="{048B42BB-BC83-4241-AC4D-6C64B977B653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67" operator="equal" id="{58615D8C-B949-41FD-8667-F59F58BCCBCC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542" operator="equal" id="{E9B2EA67-D0A1-49EA-A772-642EA7EF2A8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43" operator="equal" id="{0AE90A0A-04A9-4CEA-BA1F-1B976081A33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I52:N52 I54:N54 I53</xm:sqref>
        </x14:conditionalFormatting>
        <x14:conditionalFormatting xmlns:xm="http://schemas.microsoft.com/office/excel/2006/main">
          <x14:cfRule type="cellIs" priority="612" operator="equal" id="{97E37D60-8E02-4AD4-8CDD-86BB10F6C014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13" operator="equal" id="{A1E781F0-D076-425A-A5FA-7D08FE432B89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C16:C19 K15:N15 U19:AA19</xm:sqref>
        </x14:conditionalFormatting>
        <x14:conditionalFormatting xmlns:xm="http://schemas.microsoft.com/office/excel/2006/main">
          <x14:cfRule type="cellIs" priority="610" operator="equal" id="{EED8F981-A46D-4740-B618-8358611314C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11" operator="equal" id="{1012468D-AA7D-4BD4-B177-144884BB7C1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ellIs" priority="548" operator="equal" id="{862FD37D-53FA-4DBE-BC33-AE6D04730469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49" operator="equal" id="{CEED03E9-C22D-4BF2-9C3A-56A8E5F05AF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I71:N71</xm:sqref>
        </x14:conditionalFormatting>
        <x14:conditionalFormatting xmlns:xm="http://schemas.microsoft.com/office/excel/2006/main">
          <x14:cfRule type="cellIs" priority="606" operator="equal" id="{DE5FB112-4B01-4E11-BA2F-C79093297A52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07" operator="equal" id="{EEF09087-5C68-4FD5-B5C2-3B44F603B681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I16:I18</xm:sqref>
        </x14:conditionalFormatting>
        <x14:conditionalFormatting xmlns:xm="http://schemas.microsoft.com/office/excel/2006/main">
          <x14:cfRule type="cellIs" priority="604" operator="equal" id="{FB2CC70D-B588-403F-822C-A241D4B8176A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05" operator="equal" id="{727109B1-7B4D-41F4-B006-CAD8F07A883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602" operator="equal" id="{A6534364-63D8-4977-A092-E7FDC81263FA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03" operator="equal" id="{74F604EA-EED4-4771-A320-25BCD98D3E22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600" operator="equal" id="{048B9728-2F27-405B-BDCF-3C43EEE5082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01" operator="equal" id="{4B8482B8-2699-4C13-BD3A-86CCF83D61AC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C21:C24 K20:N20 U24:AA24</xm:sqref>
        </x14:conditionalFormatting>
        <x14:conditionalFormatting xmlns:xm="http://schemas.microsoft.com/office/excel/2006/main">
          <x14:cfRule type="cellIs" priority="598" operator="equal" id="{6378BBB0-A248-4BDB-832E-FFCC9539BBB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99" operator="equal" id="{14E88600-DB7B-414C-AEF2-E85DF4C2B1A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ellIs" priority="536" operator="equal" id="{A75E3E72-E2D1-46F4-8C63-DB11A0845AE5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37" operator="equal" id="{8720F945-2B46-4EC2-ACA1-399C2813D77F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J69:N69</xm:sqref>
        </x14:conditionalFormatting>
        <x14:conditionalFormatting xmlns:xm="http://schemas.microsoft.com/office/excel/2006/main">
          <x14:cfRule type="cellIs" priority="594" operator="equal" id="{24D7D04C-3FD8-4141-9B10-653E6F4138C3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95" operator="equal" id="{ADB9D4BD-F7FA-4B57-9A86-637146180DDC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I21:I23</xm:sqref>
        </x14:conditionalFormatting>
        <x14:conditionalFormatting xmlns:xm="http://schemas.microsoft.com/office/excel/2006/main">
          <x14:cfRule type="cellIs" priority="590" operator="equal" id="{81923E36-75F8-4A9A-BD40-70B7F4F4C9CA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91" operator="equal" id="{D0BC1441-9FED-4957-B7B9-7C32E05810A0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J20</xm:sqref>
        </x14:conditionalFormatting>
        <x14:conditionalFormatting xmlns:xm="http://schemas.microsoft.com/office/excel/2006/main">
          <x14:cfRule type="cellIs" priority="588" operator="equal" id="{59F57D13-466E-4994-B5A1-AAC8C9077C9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9" operator="equal" id="{F234C259-9818-4BD8-BB3D-A5D554B98757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C26:C29 K25:N25</xm:sqref>
        </x14:conditionalFormatting>
        <x14:conditionalFormatting xmlns:xm="http://schemas.microsoft.com/office/excel/2006/main">
          <x14:cfRule type="cellIs" priority="586" operator="equal" id="{686ECC33-5E84-458E-8DF7-4F2C6F00CBA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7" operator="equal" id="{AB8AFCB8-5FF2-41D9-91A5-EDAFE40A296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ellIs" priority="524" operator="equal" id="{B3750819-C4A2-48A5-AF29-5DFD8ADCE905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5" operator="equal" id="{67F5A5E6-A55C-4303-8A0F-6D107189FEC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D73:O73 C71:O72</xm:sqref>
        </x14:conditionalFormatting>
        <x14:conditionalFormatting xmlns:xm="http://schemas.microsoft.com/office/excel/2006/main">
          <x14:cfRule type="cellIs" priority="582" operator="equal" id="{4DDD5F4E-23C1-454B-9DB0-5DAC093C4CC3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3" operator="equal" id="{EAC440F0-F808-43A9-A4EA-FC9BD7333716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I26:I28</xm:sqref>
        </x14:conditionalFormatting>
        <x14:conditionalFormatting xmlns:xm="http://schemas.microsoft.com/office/excel/2006/main">
          <x14:cfRule type="cellIs" priority="580" operator="equal" id="{0A62FE73-7C8F-4595-B2A1-61D6ADE14B4D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1" operator="equal" id="{025671F7-253F-4DF3-B7F0-D395D639E928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ellIs" priority="576" operator="equal" id="{5F5479AF-0703-4024-AA1B-D54EAB0810CB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77" operator="equal" id="{82D7049C-1741-4E51-B475-14B5EBB5C877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C31:C34 K30:N30 J33:J34 U34:V34 L33:N34</xm:sqref>
        </x14:conditionalFormatting>
        <x14:conditionalFormatting xmlns:xm="http://schemas.microsoft.com/office/excel/2006/main">
          <x14:cfRule type="cellIs" priority="574" operator="equal" id="{4A88E5CF-CE9E-4FB3-B331-9E02B47F92D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75" operator="equal" id="{B571CDAD-4BA9-42C4-9C49-37D93BA0E999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cellIs" priority="560" operator="equal" id="{7E0EE393-8AB0-431A-B13D-FDA68C75544A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61" operator="equal" id="{BC866E5F-6C35-4B22-A1D6-3BCFC637545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O52:O55</xm:sqref>
        </x14:conditionalFormatting>
        <x14:conditionalFormatting xmlns:xm="http://schemas.microsoft.com/office/excel/2006/main">
          <x14:cfRule type="cellIs" priority="558" operator="equal" id="{E769C3A1-0EEC-49BE-8CE0-FE4D71DF386B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59" operator="equal" id="{7959A3C9-E02D-4DAC-8AF2-CC33070844A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I64:N64 I66:N66 I65</xm:sqref>
        </x14:conditionalFormatting>
        <x14:conditionalFormatting xmlns:xm="http://schemas.microsoft.com/office/excel/2006/main">
          <x14:cfRule type="cellIs" priority="556" operator="equal" id="{4168BDB6-8C59-4491-9E15-F3DDB11F6C2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57" operator="equal" id="{34591C33-39A8-4B08-8CDA-124CAD0AD37F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I59:N59 J57:N57</xm:sqref>
        </x14:conditionalFormatting>
        <x14:conditionalFormatting xmlns:xm="http://schemas.microsoft.com/office/excel/2006/main">
          <x14:cfRule type="cellIs" priority="554" operator="equal" id="{377E8C90-640E-40AF-AB21-735AE47F342D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55" operator="equal" id="{98DE925D-C6FA-4B9E-AAB1-8C49F1F8D9A6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I56:N56 I58:N58 I57</xm:sqref>
        </x14:conditionalFormatting>
        <x14:conditionalFormatting xmlns:xm="http://schemas.microsoft.com/office/excel/2006/main">
          <x14:cfRule type="cellIs" priority="552" operator="equal" id="{08456F6D-7A8F-47B9-A912-1848836101C8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53" operator="equal" id="{E330E9FA-452E-488E-B170-0EF69D1C253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J63:O63 O61</xm:sqref>
        </x14:conditionalFormatting>
        <x14:conditionalFormatting xmlns:xm="http://schemas.microsoft.com/office/excel/2006/main">
          <x14:cfRule type="cellIs" priority="550" operator="equal" id="{60D86378-CECD-4FFC-A58E-08A0BB8B1F49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51" operator="equal" id="{F6CEDBBB-7E67-4C76-BCC1-9C4906A123E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O60 O62</xm:sqref>
        </x14:conditionalFormatting>
        <x14:conditionalFormatting xmlns:xm="http://schemas.microsoft.com/office/excel/2006/main">
          <x14:cfRule type="cellIs" priority="534" operator="equal" id="{2B3F1684-63A4-4F13-8C0A-82260605D23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35" operator="equal" id="{2153C63A-9981-4D8C-AE4D-E76E70B41B8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I68:N68 I70:N70 I69</xm:sqref>
        </x14:conditionalFormatting>
        <x14:conditionalFormatting xmlns:xm="http://schemas.microsoft.com/office/excel/2006/main">
          <x14:cfRule type="cellIs" priority="544" operator="equal" id="{90E60CB2-C76A-4757-9FF1-2AE9D08D8791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45" operator="equal" id="{B960A6D4-6C24-4C53-82A5-AF492B788E87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I55:N55</xm:sqref>
        </x14:conditionalFormatting>
        <x14:conditionalFormatting xmlns:xm="http://schemas.microsoft.com/office/excel/2006/main">
          <x14:cfRule type="cellIs" priority="540" operator="equal" id="{85AB77B7-1BE0-4505-80CB-8829F5E2A527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41" operator="equal" id="{BBCD26FD-4B5F-4117-AA7B-46C7CC6595B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J61:N61</xm:sqref>
        </x14:conditionalFormatting>
        <x14:conditionalFormatting xmlns:xm="http://schemas.microsoft.com/office/excel/2006/main">
          <x14:cfRule type="cellIs" priority="538" operator="equal" id="{DE019428-0D58-4964-86B4-1467FE0512B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39" operator="equal" id="{428EA7CA-1B89-4081-B971-97EB10BBE8B1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I60:N60 I62:N62 I61</xm:sqref>
        </x14:conditionalFormatting>
        <x14:conditionalFormatting xmlns:xm="http://schemas.microsoft.com/office/excel/2006/main">
          <x14:cfRule type="cellIs" priority="532" operator="equal" id="{D22F6D52-997A-492E-BF8B-CBCAB022A9A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33" operator="equal" id="{14AE351A-DA58-4312-9121-A6A1B70EB72F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V15:AA15 V16:W18 Z16:AA18</xm:sqref>
        </x14:conditionalFormatting>
        <x14:conditionalFormatting xmlns:xm="http://schemas.microsoft.com/office/excel/2006/main">
          <x14:cfRule type="cellIs" priority="530" operator="equal" id="{BEA5B484-12B3-40F5-A64F-7CC832AED4BE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31" operator="equal" id="{1B9AA6C5-5DF6-4FCC-A514-BFEE6D385DFD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V20:AA20 V21:V23</xm:sqref>
        </x14:conditionalFormatting>
        <x14:conditionalFormatting xmlns:xm="http://schemas.microsoft.com/office/excel/2006/main">
          <x14:cfRule type="cellIs" priority="528" operator="equal" id="{0F40FB7F-4F07-4909-B458-63CFCF363F3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9" operator="equal" id="{AF8C91CE-8410-47F4-B93D-128171A64CC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V25:AA25 V27:W28 Z26:AA28 V26</xm:sqref>
        </x14:conditionalFormatting>
        <x14:conditionalFormatting xmlns:xm="http://schemas.microsoft.com/office/excel/2006/main">
          <x14:cfRule type="cellIs" priority="526" operator="equal" id="{E64C5204-C062-43E2-9659-1E54EF83155B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7" operator="equal" id="{498F676C-224E-4EF3-BB84-45D49F7828AB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V30:AA30 V31:W33 Z31:AA33</xm:sqref>
        </x14:conditionalFormatting>
        <x14:conditionalFormatting xmlns:xm="http://schemas.microsoft.com/office/excel/2006/main">
          <x14:cfRule type="cellIs" priority="520" operator="equal" id="{82C8B28E-985C-47AF-8C86-B03B8B7C0E6D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1" operator="equal" id="{A3515FFE-369B-43C5-9961-D0B6D5776211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Y1:Z1</xm:sqref>
        </x14:conditionalFormatting>
        <x14:conditionalFormatting xmlns:xm="http://schemas.microsoft.com/office/excel/2006/main">
          <x14:cfRule type="cellIs" priority="494" operator="equal" id="{86E482A3-772A-4DF8-8E21-A53837C3B88A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95" operator="equal" id="{EC11D6D4-937C-4C04-9594-004248CD22F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ellIs" priority="472" operator="equal" id="{734A4E53-FF76-45F0-9AC7-896E17E04149}">
            <xm:f>HandsOff_Basisdata!$A$40</xm:f>
            <x14:dxf>
              <fill>
                <patternFill>
                  <bgColor theme="9" tint="0.39994506668294322"/>
                </patternFill>
              </fill>
            </x14:dxf>
          </x14:cfRule>
          <xm:sqref>D13 D18 D23 D28 D33</xm:sqref>
        </x14:conditionalFormatting>
        <x14:conditionalFormatting xmlns:xm="http://schemas.microsoft.com/office/excel/2006/main">
          <x14:cfRule type="cellIs" priority="471" operator="equal" id="{39130B67-4CA1-4FA0-AEFE-E2E0BC4F4915}">
            <xm:f>HandsOff_Basisdata!$A$41</xm:f>
            <x14:dxf>
              <fill>
                <patternFill>
                  <bgColor rgb="FFF55C3D"/>
                </patternFill>
              </fill>
            </x14:dxf>
          </x14:cfRule>
          <xm:sqref>D13 D18 D23 D28 D33</xm:sqref>
        </x14:conditionalFormatting>
        <x14:conditionalFormatting xmlns:xm="http://schemas.microsoft.com/office/excel/2006/main">
          <x14:cfRule type="cellIs" priority="469" operator="equal" id="{9460EB91-5E93-4758-88F0-DD92BCA7BA47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70" operator="equal" id="{CB2E5E10-DC40-4C26-A2C1-018A485D3D66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ellIs" priority="467" operator="equal" id="{B990BCDF-A6D9-4542-B2FD-32D4B5FA014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8" operator="equal" id="{D05CF5E2-D7CF-4900-A65B-713DDC8C139B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465" operator="equal" id="{0061E979-5DD5-44D1-9DCB-88B81EEB2974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6" operator="equal" id="{5C15F85B-0970-4FAD-AF9E-1056870EA95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ellIs" priority="463" operator="equal" id="{A5B376A3-7575-47A0-8B35-455AB939F8E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4" operator="equal" id="{2DB9691C-4A40-4087-8D24-A24157F2495A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ellIs" priority="461" operator="equal" id="{EE793F0B-558D-4A86-8BA3-83CEADC52312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2" operator="equal" id="{39DF1765-0A11-4670-A8DD-97500E7BBD32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Q10:T10</xm:sqref>
        </x14:conditionalFormatting>
        <x14:conditionalFormatting xmlns:xm="http://schemas.microsoft.com/office/excel/2006/main">
          <x14:cfRule type="cellIs" priority="431" operator="equal" id="{13E00968-18A6-477E-BC5B-A6CE033DCB25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2" operator="equal" id="{105615D5-13C9-4147-A377-EF4A35CC72D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ellIs" priority="427" operator="equal" id="{DBA27B6A-5145-4CC7-BD17-0E4DC9FBEFF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8" operator="equal" id="{586EAE1E-8ECA-4FFC-9E63-DEB88D69AB6D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O31:O33</xm:sqref>
        </x14:conditionalFormatting>
        <x14:conditionalFormatting xmlns:xm="http://schemas.microsoft.com/office/excel/2006/main">
          <x14:cfRule type="cellIs" priority="459" operator="equal" id="{D54D7F60-464F-4196-BA9E-89292E285237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0" operator="equal" id="{3F67F694-E99D-48F2-9D0B-0FE86C9742B4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O11:O13</xm:sqref>
        </x14:conditionalFormatting>
        <x14:conditionalFormatting xmlns:xm="http://schemas.microsoft.com/office/excel/2006/main">
          <x14:cfRule type="cellIs" priority="457" operator="equal" id="{28976315-9D75-419D-AA56-920CAAF022B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58" operator="equal" id="{FD305F62-DF20-42DC-A85F-1E249AFFB191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O10</xm:sqref>
        </x14:conditionalFormatting>
        <x14:conditionalFormatting xmlns:xm="http://schemas.microsoft.com/office/excel/2006/main">
          <x14:cfRule type="cellIs" priority="455" operator="equal" id="{916BE420-EA2F-4871-A3B2-0BA2A6BD7514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56" operator="equal" id="{E6796622-3C32-4EC8-AABD-D76CEBA21D69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cellIs" priority="425" operator="equal" id="{84BDFD30-6962-446F-8C43-6694EF3C36AD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6" operator="equal" id="{CFEF71C7-E003-446C-AB37-67ECCFF6E86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423" operator="equal" id="{C7660115-8CBB-483D-B00B-C735E4180F6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4" operator="equal" id="{DD7C5B23-0B04-4F5C-8F28-989FEC326C29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cellIs" priority="453" operator="equal" id="{CF1B997B-6D3C-491C-8B22-D2E15C6A3CC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54" operator="equal" id="{E2AE141A-A816-4E4B-92B1-D6153B903FAB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ellIs" priority="451" operator="equal" id="{458B25F8-FEF8-48B4-836E-3225181F4DD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52" operator="equal" id="{E17F725D-37CC-4394-A3D5-785FF347C627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O16:O18</xm:sqref>
        </x14:conditionalFormatting>
        <x14:conditionalFormatting xmlns:xm="http://schemas.microsoft.com/office/excel/2006/main">
          <x14:cfRule type="cellIs" priority="449" operator="equal" id="{03E9A6A5-DF0B-4574-9E16-CD257778DCA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50" operator="equal" id="{6FFC05C1-1D61-4683-BF76-7FC8F836516F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447" operator="equal" id="{D326AB2F-90DB-4DB9-9953-853E29EEB02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48" operator="equal" id="{ADFC6F47-4A12-4D1F-92D3-B26A5ABCFB3F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P15</xm:sqref>
        </x14:conditionalFormatting>
        <x14:conditionalFormatting xmlns:xm="http://schemas.microsoft.com/office/excel/2006/main">
          <x14:cfRule type="cellIs" priority="445" operator="equal" id="{DC3E84B3-6E73-473E-B86F-5E5C44A540CD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46" operator="equal" id="{0A3CC65A-D9F7-4231-B169-9E9FCC6601AB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Q20:T20</xm:sqref>
        </x14:conditionalFormatting>
        <x14:conditionalFormatting xmlns:xm="http://schemas.microsoft.com/office/excel/2006/main">
          <x14:cfRule type="cellIs" priority="443" operator="equal" id="{4BC55182-FA5C-49F9-BA2F-1395F4A176D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44" operator="equal" id="{3E4F9D4D-2091-4220-937F-F7D0445B86A6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O21:O23</xm:sqref>
        </x14:conditionalFormatting>
        <x14:conditionalFormatting xmlns:xm="http://schemas.microsoft.com/office/excel/2006/main">
          <x14:cfRule type="cellIs" priority="441" operator="equal" id="{0E2E1A18-818C-4629-BA8D-332904064C33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42" operator="equal" id="{3FCF49BC-8E7E-418E-9E23-69148B9AE038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O20</xm:sqref>
        </x14:conditionalFormatting>
        <x14:conditionalFormatting xmlns:xm="http://schemas.microsoft.com/office/excel/2006/main">
          <x14:cfRule type="cellIs" priority="439" operator="equal" id="{A9EC28EE-2383-4249-8662-D4548FFB097B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40" operator="equal" id="{01E9299F-4FAF-40A8-A88A-692E68934AD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P20</xm:sqref>
        </x14:conditionalFormatting>
        <x14:conditionalFormatting xmlns:xm="http://schemas.microsoft.com/office/excel/2006/main">
          <x14:cfRule type="cellIs" priority="437" operator="equal" id="{D550BF27-B9A0-4732-BA11-003059950053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8" operator="equal" id="{9787BD8C-705E-434F-B466-FFF8E4D6830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Q25:T25</xm:sqref>
        </x14:conditionalFormatting>
        <x14:conditionalFormatting xmlns:xm="http://schemas.microsoft.com/office/excel/2006/main">
          <x14:cfRule type="cellIs" priority="435" operator="equal" id="{3A463396-70C6-4BD9-8460-1A5E455EFB59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6" operator="equal" id="{F92B1111-D56F-44F8-A1A3-B7B729D5365A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O26:O28</xm:sqref>
        </x14:conditionalFormatting>
        <x14:conditionalFormatting xmlns:xm="http://schemas.microsoft.com/office/excel/2006/main">
          <x14:cfRule type="cellIs" priority="433" operator="equal" id="{B9F219D6-4EAE-496C-9DD4-CBE92C203462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4" operator="equal" id="{312D6230-B0E1-4333-A135-B0272E9489DC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ellIs" priority="429" operator="equal" id="{9FC46368-217A-458F-8FC2-FD384DC4A534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0" operator="equal" id="{BBF8A5A4-FB1F-4FDA-A50D-4DD2534AC7C0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Q30:T30 P32:P34 R32:T34 S31:T31</xm:sqref>
        </x14:conditionalFormatting>
        <x14:conditionalFormatting xmlns:xm="http://schemas.microsoft.com/office/excel/2006/main">
          <x14:cfRule type="cellIs" priority="421" operator="equal" id="{49066EAA-045D-4C30-B634-FF94AD7BB67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2" operator="equal" id="{50FFD4D2-71F2-41A2-913C-A3BC2F062CF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ellIs" priority="419" operator="equal" id="{02A460FC-C8BF-448A-8F2B-C7FFB38C584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0" operator="equal" id="{3D1F5AEF-9B41-4175-8DB2-8D0CAF8BD7C0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417" operator="equal" id="{2F65E737-8F77-4CED-88BE-B0FC8E8D94D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18" operator="equal" id="{F016F381-03A7-4C40-99B2-9A52F17A10A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cellIs" priority="415" operator="equal" id="{C3B3B7D3-22FB-44ED-A8D1-9571A775CF5D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16" operator="equal" id="{A2A83C94-BB69-4AED-A6F8-4F63554481CC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ellIs" priority="413" operator="equal" id="{0E09EEF9-C3B6-48C2-A76B-622E55A3D7DC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14" operator="equal" id="{05486169-E76B-45B3-8E3E-999B22B4117F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ellIs" priority="411" operator="equal" id="{BAF5D44B-92E6-445A-A872-4339510B4909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12" operator="equal" id="{9B444F9D-D91B-4211-A22B-275C1AB98AD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cellIs" priority="388" operator="equal" id="{A1C8BF9D-B5DE-4727-8EF6-4BEBFC8AE898}">
            <xm:f>HandsOff_Basisdata!$A$11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389" operator="equal" id="{E84A6364-5D78-4EF5-B6FA-6E79770E4010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m:sqref>AA69 Y70:Z70 Y66:Z68 Y60:Z60 Y56:Z57 X55</xm:sqref>
        </x14:conditionalFormatting>
        <x14:conditionalFormatting xmlns:xm="http://schemas.microsoft.com/office/excel/2006/main">
          <x14:cfRule type="cellIs" priority="380" operator="equal" id="{4ACC6F95-F7DE-4023-961E-D7491BE1BDE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1" operator="equal" id="{09E542BC-7092-4377-91A3-B4CEC013B66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D11:H12</xm:sqref>
        </x14:conditionalFormatting>
        <x14:conditionalFormatting xmlns:xm="http://schemas.microsoft.com/office/excel/2006/main">
          <x14:cfRule type="cellIs" priority="360" operator="equal" id="{650DE9DA-2226-41A5-A86B-921AC028287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1" operator="equal" id="{AC2438E9-9A3E-4EC5-A52E-402A7680AF7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T28 S26:T26</xm:sqref>
        </x14:conditionalFormatting>
        <x14:conditionalFormatting xmlns:xm="http://schemas.microsoft.com/office/excel/2006/main">
          <x14:cfRule type="cellIs" priority="362" operator="equal" id="{BFD3EFAC-9A27-49A6-BCC7-601F462DA05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3" operator="equal" id="{A2D5CF73-834C-4109-9335-9034BDB2536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P29 R29:T29</xm:sqref>
        </x14:conditionalFormatting>
        <x14:conditionalFormatting xmlns:xm="http://schemas.microsoft.com/office/excel/2006/main">
          <x14:cfRule type="cellIs" priority="374" operator="equal" id="{12AF7C1C-7B12-4910-8D77-4C2C08B1E36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75" operator="equal" id="{01C11128-ABCD-49EA-9475-D0A2D9FFB00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W11:W12</xm:sqref>
        </x14:conditionalFormatting>
        <x14:conditionalFormatting xmlns:xm="http://schemas.microsoft.com/office/excel/2006/main">
          <x14:cfRule type="cellIs" priority="372" operator="equal" id="{E5F61ACF-7EB8-43E4-9AA7-6CE241FBDC1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73" operator="equal" id="{D25F75DF-58E4-4C9F-97D4-53E5B96C352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D16:H16 G17:H17</xm:sqref>
        </x14:conditionalFormatting>
        <x14:conditionalFormatting xmlns:xm="http://schemas.microsoft.com/office/excel/2006/main">
          <x14:cfRule type="cellIs" priority="370" operator="equal" id="{5BD085D0-1622-45EB-B00C-B9248FFF8CB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71" operator="equal" id="{49F95C97-2A8D-4412-92FF-009FA52305C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D21:H22</xm:sqref>
        </x14:conditionalFormatting>
        <x14:conditionalFormatting xmlns:xm="http://schemas.microsoft.com/office/excel/2006/main">
          <x14:cfRule type="cellIs" priority="368" operator="equal" id="{A0F0C023-219A-4AB0-9759-A67AAB18333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9" operator="equal" id="{80B09D66-8B80-44BE-BB2D-340CDFB38EE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D26:H27</xm:sqref>
        </x14:conditionalFormatting>
        <x14:conditionalFormatting xmlns:xm="http://schemas.microsoft.com/office/excel/2006/main">
          <x14:cfRule type="cellIs" priority="366" operator="equal" id="{ACF6973A-4F20-42FD-B1A8-9339C768253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7" operator="equal" id="{B8B3C5ED-1AD5-4673-AC81-AD82B17E809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E31:H32</xm:sqref>
        </x14:conditionalFormatting>
        <x14:conditionalFormatting xmlns:xm="http://schemas.microsoft.com/office/excel/2006/main">
          <x14:cfRule type="cellIs" priority="364" operator="equal" id="{14CC6044-B379-40D7-8822-9AF671E29CD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5" operator="equal" id="{D9FCAAEE-7166-427B-B64D-6BB95495C42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J32 L32:N32 M31:N31</xm:sqref>
        </x14:conditionalFormatting>
        <x14:conditionalFormatting xmlns:xm="http://schemas.microsoft.com/office/excel/2006/main">
          <x14:cfRule type="cellIs" priority="358" operator="equal" id="{24A38032-A5C4-48F0-B0BB-E163E0B10B0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9" operator="equal" id="{30556C86-016D-41D3-B9FB-FA77DF941F7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W23 AA21:AA22 Z23:AA23</xm:sqref>
        </x14:conditionalFormatting>
        <x14:conditionalFormatting xmlns:xm="http://schemas.microsoft.com/office/excel/2006/main">
          <x14:cfRule type="cellIs" priority="356" operator="equal" id="{A9666B39-35E8-427A-A83A-4A8C4322489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7" operator="equal" id="{B69E0C9E-9B86-4FE1-8788-EF07CED5295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E65:H65</xm:sqref>
        </x14:conditionalFormatting>
        <x14:conditionalFormatting xmlns:xm="http://schemas.microsoft.com/office/excel/2006/main">
          <x14:cfRule type="cellIs" priority="354" operator="equal" id="{B2C1ABBD-7EBE-471C-8F51-4244992CA45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5" operator="equal" id="{FD644FC0-3155-4CE0-B86E-DB607B8D24C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D69:H69</xm:sqref>
        </x14:conditionalFormatting>
        <x14:conditionalFormatting xmlns:xm="http://schemas.microsoft.com/office/excel/2006/main">
          <x14:cfRule type="cellIs" priority="288" operator="equal" id="{C9261D8C-8927-4B90-A375-3343863009D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9" operator="equal" id="{88202B64-ABD8-4900-AA76-5DF2C350044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J28 L28:M28</xm:sqref>
        </x14:conditionalFormatting>
        <x14:conditionalFormatting xmlns:xm="http://schemas.microsoft.com/office/excel/2006/main">
          <x14:cfRule type="cellIs" priority="316" operator="equal" id="{84FAC642-9A9C-4A6B-BD7B-60EE26E36D0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17" operator="equal" id="{B46363DC-E0AD-433C-9D92-9F905BB3E66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J29 L29:N29</xm:sqref>
        </x14:conditionalFormatting>
        <x14:conditionalFormatting xmlns:xm="http://schemas.microsoft.com/office/excel/2006/main">
          <x14:cfRule type="cellIs" priority="314" operator="equal" id="{BA2D08FE-DE58-4ACF-B3BE-AA2A687E450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15" operator="equal" id="{27F7245A-509B-4774-A6EE-DEB8D8AD060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N27:N28 L26:N26</xm:sqref>
        </x14:conditionalFormatting>
        <x14:conditionalFormatting xmlns:xm="http://schemas.microsoft.com/office/excel/2006/main">
          <x14:cfRule type="cellIs" priority="312" operator="equal" id="{ACE6F673-0321-4238-B2AE-FD7EDFA76C2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13" operator="equal" id="{EDFBCFCD-0603-40CC-B81E-E776ABE485C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J24 L24:N24</xm:sqref>
        </x14:conditionalFormatting>
        <x14:conditionalFormatting xmlns:xm="http://schemas.microsoft.com/office/excel/2006/main">
          <x14:cfRule type="cellIs" priority="310" operator="equal" id="{650759B5-8727-46B7-8843-8D9B9F9606B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11" operator="equal" id="{3E26365D-2326-44CD-A10C-D175CBBFE0D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M21:N23</xm:sqref>
        </x14:conditionalFormatting>
        <x14:conditionalFormatting xmlns:xm="http://schemas.microsoft.com/office/excel/2006/main">
          <x14:cfRule type="cellIs" priority="308" operator="equal" id="{0790C4BB-BD49-4573-8C5E-E40508DC2CA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9" operator="equal" id="{0F365D24-1F0B-43A5-9191-B1E4E46AEE2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J19 L19:N19</xm:sqref>
        </x14:conditionalFormatting>
        <x14:conditionalFormatting xmlns:xm="http://schemas.microsoft.com/office/excel/2006/main">
          <x14:cfRule type="cellIs" priority="306" operator="equal" id="{5540DD91-0482-4DEF-8D17-494D0D444DC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7" operator="equal" id="{4A7B6CEA-538F-4DD6-8785-817582E79F8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J18 K16:N16 N17 L18:N18</xm:sqref>
        </x14:conditionalFormatting>
        <x14:conditionalFormatting xmlns:xm="http://schemas.microsoft.com/office/excel/2006/main">
          <x14:cfRule type="cellIs" priority="304" operator="equal" id="{66FF8F45-788C-432D-9E9B-EFDE5C7A37B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5" operator="equal" id="{2D7071F2-0748-4281-9622-D2BCB2682F9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J14 L14:N14</xm:sqref>
        </x14:conditionalFormatting>
        <x14:conditionalFormatting xmlns:xm="http://schemas.microsoft.com/office/excel/2006/main">
          <x14:cfRule type="cellIs" priority="302" operator="equal" id="{19A6B44F-C260-4720-82AD-2C046D7743E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3" operator="equal" id="{D4C8E7A4-CE79-462E-891A-B7387B129A1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J11 J13 M12:N12 L13:N13 L11:N11</xm:sqref>
        </x14:conditionalFormatting>
        <x14:conditionalFormatting xmlns:xm="http://schemas.microsoft.com/office/excel/2006/main">
          <x14:cfRule type="cellIs" priority="300" operator="equal" id="{B151DA33-8940-4CF5-A992-DBBBA754EDA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1" operator="equal" id="{B825F25F-0D09-485E-8A9B-66BC646A5BB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P14 R14:T14</xm:sqref>
        </x14:conditionalFormatting>
        <x14:conditionalFormatting xmlns:xm="http://schemas.microsoft.com/office/excel/2006/main">
          <x14:cfRule type="cellIs" priority="298" operator="equal" id="{B4F9E670-A985-4600-B493-E1E41DDA90C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99" operator="equal" id="{0F94FA82-A6E5-4D15-86DC-876B00B3D0E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P11:P13 R11:T13</xm:sqref>
        </x14:conditionalFormatting>
        <x14:conditionalFormatting xmlns:xm="http://schemas.microsoft.com/office/excel/2006/main">
          <x14:cfRule type="cellIs" priority="296" operator="equal" id="{6AD4470C-FD68-403C-8140-705CB79EF08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97" operator="equal" id="{EED0897B-674F-4FE8-B16C-9F91DCB446B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P19 R19:T19</xm:sqref>
        </x14:conditionalFormatting>
        <x14:conditionalFormatting xmlns:xm="http://schemas.microsoft.com/office/excel/2006/main">
          <x14:cfRule type="cellIs" priority="294" operator="equal" id="{57415CAC-041C-43E4-8704-F35E729DC9E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95" operator="equal" id="{CE7D7A53-5926-4085-BF31-7BB94947DCC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P16:P18 R16:T18</xm:sqref>
        </x14:conditionalFormatting>
        <x14:conditionalFormatting xmlns:xm="http://schemas.microsoft.com/office/excel/2006/main">
          <x14:cfRule type="cellIs" priority="292" operator="equal" id="{7C2D1552-7590-45B7-9080-A30A42A1FB9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93" operator="equal" id="{3D007E9D-7DDA-4B95-8CC2-A89EC4F20E4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P24 R24:T24</xm:sqref>
        </x14:conditionalFormatting>
        <x14:conditionalFormatting xmlns:xm="http://schemas.microsoft.com/office/excel/2006/main">
          <x14:cfRule type="cellIs" priority="290" operator="equal" id="{922F72A6-06AB-4E3D-B0AF-2B45439B52D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91" operator="equal" id="{06C07E90-B555-4B39-8CC6-0AABE77CBF3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P23 S21:T21 R22:T23</xm:sqref>
        </x14:conditionalFormatting>
        <x14:conditionalFormatting xmlns:xm="http://schemas.microsoft.com/office/excel/2006/main">
          <x14:cfRule type="cellIs" priority="286" operator="equal" id="{4CD8C11B-ED8E-4082-839A-2DD19A910C3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7" operator="equal" id="{6EE26D5C-4D07-425E-BB22-903F5F5CE2F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D31:D32</xm:sqref>
        </x14:conditionalFormatting>
        <x14:conditionalFormatting xmlns:xm="http://schemas.microsoft.com/office/excel/2006/main">
          <x14:cfRule type="cellIs" priority="284" operator="equal" id="{7C6DBD97-FDB7-4E02-9232-8B8E3725A81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5" operator="equal" id="{7C1022B9-5161-4C14-94F8-F6072BF4A8A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P28 R28:S28</xm:sqref>
        </x14:conditionalFormatting>
        <x14:conditionalFormatting xmlns:xm="http://schemas.microsoft.com/office/excel/2006/main">
          <x14:cfRule type="cellIs" priority="280" operator="equal" id="{ACB1D045-11BE-4527-9D61-D8740090F869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1" operator="equal" id="{A0A36B02-6ABB-4F15-8007-47F130FF7DB2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W21:W22 Z21:Z22</xm:sqref>
        </x14:conditionalFormatting>
        <x14:conditionalFormatting xmlns:xm="http://schemas.microsoft.com/office/excel/2006/main">
          <x14:cfRule type="cellIs" priority="270" operator="equal" id="{1C80D5D9-E72B-4816-B09F-90C536A8C9F9}">
            <xm:f>HandsOff_Basisdata!$G$122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271" operator="equal" id="{63FA1312-9B3D-4430-BBEB-3A84334981E1}">
            <xm:f>HandsOff_Basisdata!$G$121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72" operator="equal" id="{6A618645-8DB4-4B8E-9699-084E136B3992}">
            <xm:f>HandsOff_Basisdata!$G$120</xm:f>
            <x14:dxf>
              <fill>
                <patternFill>
                  <bgColor theme="5" tint="0.39994506668294322"/>
                </patternFill>
              </fill>
            </x14:dxf>
          </x14:cfRule>
          <xm:sqref>J40:T40</xm:sqref>
        </x14:conditionalFormatting>
        <x14:conditionalFormatting xmlns:xm="http://schemas.microsoft.com/office/excel/2006/main">
          <x14:cfRule type="cellIs" priority="265" operator="equal" id="{2BEE771D-FB92-407B-8951-D05C28F96EE7}">
            <xm:f>HandsOff_Basisdata!$G$122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266" operator="equal" id="{76BCAE6B-1949-4720-B3B8-668220626403}">
            <xm:f>HandsOff_Basisdata!$G$121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67" operator="equal" id="{D365AFFE-1E9C-450E-98AA-DC1EA547FFFD}">
            <xm:f>HandsOff_Basisdata!$G$120</xm:f>
            <x14:dxf>
              <fill>
                <patternFill>
                  <bgColor theme="5" tint="0.39994506668294322"/>
                </patternFill>
              </fill>
            </x14:dxf>
          </x14:cfRule>
          <xm:sqref>S64:AA64</xm:sqref>
        </x14:conditionalFormatting>
        <x14:conditionalFormatting xmlns:xm="http://schemas.microsoft.com/office/excel/2006/main">
          <x14:cfRule type="cellIs" priority="263" operator="equal" id="{74C92037-EC43-4EF9-A534-AE2E7761C4E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64" operator="equal" id="{3135816C-0F2A-4A4A-A8C4-96251236A91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J12 L12</xm:sqref>
        </x14:conditionalFormatting>
        <x14:conditionalFormatting xmlns:xm="http://schemas.microsoft.com/office/excel/2006/main">
          <x14:cfRule type="cellIs" priority="261" operator="equal" id="{7626052D-12E3-4A69-B4D9-2DE20FAC1F2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62" operator="equal" id="{1F6DB304-91C4-4D1B-A25E-A432F3324F9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J17 L17:M17</xm:sqref>
        </x14:conditionalFormatting>
        <x14:conditionalFormatting xmlns:xm="http://schemas.microsoft.com/office/excel/2006/main">
          <x14:cfRule type="cellIs" priority="259" operator="equal" id="{D2012016-3C3C-4900-8966-3677500031B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60" operator="equal" id="{F01514EF-3ECF-4802-9739-28509C62AA8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E17:F17</xm:sqref>
        </x14:conditionalFormatting>
        <x14:conditionalFormatting xmlns:xm="http://schemas.microsoft.com/office/excel/2006/main">
          <x14:cfRule type="cellIs" priority="257" operator="equal" id="{48E0B0F8-9074-461B-8489-E9D375FC984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58" operator="equal" id="{96ADE658-50EB-4D07-91A3-5924AF61057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ellIs" priority="255" operator="equal" id="{A3EBDBF4-96EF-4BB1-B2F6-4EFDFAB1F9B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56" operator="equal" id="{9AE7F74E-80DB-4774-A2D3-D6885B8D2CE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J27 L27:M27</xm:sqref>
        </x14:conditionalFormatting>
        <x14:conditionalFormatting xmlns:xm="http://schemas.microsoft.com/office/excel/2006/main">
          <x14:cfRule type="cellIs" priority="239" operator="equal" id="{EB3EA8D7-93CA-4E48-A7CF-B5F01751CB0E}">
            <xm:f>HandsOff_Basisdata!$U$133</xm:f>
            <x14:dxf>
              <fill>
                <patternFill>
                  <bgColor theme="9" tint="0.39994506668294322"/>
                </patternFill>
              </fill>
            </x14:dxf>
          </x14:cfRule>
          <xm:sqref>R65:AA65 J41:T41</xm:sqref>
        </x14:conditionalFormatting>
        <x14:conditionalFormatting xmlns:xm="http://schemas.microsoft.com/office/excel/2006/main">
          <x14:cfRule type="cellIs" priority="238" operator="equal" id="{33C86933-D513-4B00-88D9-6C15EDE882CB}">
            <xm:f>HandsOff_Basisdata!$U$134</xm:f>
            <x14:dxf>
              <fill>
                <patternFill>
                  <bgColor theme="5" tint="0.39994506668294322"/>
                </patternFill>
              </fill>
            </x14:dxf>
          </x14:cfRule>
          <xm:sqref>R65:AA65 J41:T41</xm:sqref>
        </x14:conditionalFormatting>
        <x14:conditionalFormatting xmlns:xm="http://schemas.microsoft.com/office/excel/2006/main">
          <x14:cfRule type="cellIs" priority="232" operator="equal" id="{F2CABA9A-A905-4B92-AC11-A1C835A6A7D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3" operator="equal" id="{0805A862-DF8F-4819-92A2-578C4BA9BED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K17:K19</xm:sqref>
        </x14:conditionalFormatting>
        <x14:conditionalFormatting xmlns:xm="http://schemas.microsoft.com/office/excel/2006/main">
          <x14:cfRule type="cellIs" priority="230" operator="equal" id="{931C6B58-AC06-44F4-A0E0-058210B8541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1" operator="equal" id="{A5CDAF30-7229-4964-B8BF-6165947A31D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cellIs" priority="228" operator="equal" id="{074CFE25-5EEE-4260-B828-CD67510A9DB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29" operator="equal" id="{7FF250EC-3F1E-4537-A113-32BC96D43A5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K12:K14</xm:sqref>
        </x14:conditionalFormatting>
        <x14:conditionalFormatting xmlns:xm="http://schemas.microsoft.com/office/excel/2006/main">
          <x14:cfRule type="cellIs" priority="224" operator="equal" id="{04B270CA-70CC-470D-AD65-6F1F49EEF55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25" operator="equal" id="{C7DA5326-F6A0-4970-BEEB-ABA4DE5C8FE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222" operator="equal" id="{013EC490-020B-4879-BD50-5157A358073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23" operator="equal" id="{4279BBD4-91AB-46AA-BFEF-A24FA4D550B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K26</xm:sqref>
        </x14:conditionalFormatting>
        <x14:conditionalFormatting xmlns:xm="http://schemas.microsoft.com/office/excel/2006/main">
          <x14:cfRule type="cellIs" priority="220" operator="equal" id="{E3CBFE66-A618-47FE-B154-CA5032E2B19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21" operator="equal" id="{87C65118-BB01-4CB7-8E1D-2785873C63D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K27:K29</xm:sqref>
        </x14:conditionalFormatting>
        <x14:conditionalFormatting xmlns:xm="http://schemas.microsoft.com/office/excel/2006/main">
          <x14:cfRule type="cellIs" priority="212" operator="equal" id="{645D2CB9-FE27-49C5-A047-0DB478D7C3A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3" operator="equal" id="{D092B813-6066-45A0-8DF4-28EB6305B3D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Q12:Q14</xm:sqref>
        </x14:conditionalFormatting>
        <x14:conditionalFormatting xmlns:xm="http://schemas.microsoft.com/office/excel/2006/main">
          <x14:cfRule type="cellIs" priority="216" operator="equal" id="{4E214513-E32C-4561-89A6-484CFB2055B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7" operator="equal" id="{B6BCCDC8-8986-4EB0-B7D7-5275E0A5383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K32:K34</xm:sqref>
        </x14:conditionalFormatting>
        <x14:conditionalFormatting xmlns:xm="http://schemas.microsoft.com/office/excel/2006/main">
          <x14:cfRule type="cellIs" priority="214" operator="equal" id="{EE4B4581-5E26-471A-A0CC-4A311952F35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5" operator="equal" id="{67120FAA-AC43-4FD6-B7F9-7DF7EC9D673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ellIs" priority="210" operator="equal" id="{E108C995-FBBF-4C0E-A4D4-F273C053DB5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1" operator="equal" id="{C0FDA1F3-6F59-4394-9D11-17EED8F1F70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ellIs" priority="208" operator="equal" id="{13DFB1AA-E6DB-4360-93C6-A00138AEB1A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9" operator="equal" id="{0A0BDFB0-CD88-43F4-8AC2-E456D8F803E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Q17:Q19</xm:sqref>
        </x14:conditionalFormatting>
        <x14:conditionalFormatting xmlns:xm="http://schemas.microsoft.com/office/excel/2006/main">
          <x14:cfRule type="cellIs" priority="204" operator="equal" id="{A642DF5C-4C42-4C4B-BBE5-F558F69ECFB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5" operator="equal" id="{08FDC180-2B88-4147-BFD7-10C230EB52B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Q22:Q24</xm:sqref>
        </x14:conditionalFormatting>
        <x14:conditionalFormatting xmlns:xm="http://schemas.microsoft.com/office/excel/2006/main">
          <x14:cfRule type="cellIs" priority="200" operator="equal" id="{764835A6-6AE5-4379-9FA1-A6EA9EE3D97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1" operator="equal" id="{C3D32079-0A1A-4C97-90B6-4C08DDA1D25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Q28:Q29</xm:sqref>
        </x14:conditionalFormatting>
        <x14:conditionalFormatting xmlns:xm="http://schemas.microsoft.com/office/excel/2006/main">
          <x14:cfRule type="cellIs" priority="196" operator="equal" id="{23B7A202-CDAC-4BB8-8917-DB65DE2A945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97" operator="equal" id="{7BDC1B41-D41C-4EC9-9860-9FF08E4A20D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Q32:Q34</xm:sqref>
        </x14:conditionalFormatting>
        <x14:conditionalFormatting xmlns:xm="http://schemas.microsoft.com/office/excel/2006/main">
          <x14:cfRule type="cellIs" priority="194" operator="equal" id="{8A84A55F-3990-40DB-BC4B-A390013EC26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95" operator="equal" id="{4B427988-8322-416C-AC22-FDECBB4269F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Y11</xm:sqref>
        </x14:conditionalFormatting>
        <x14:conditionalFormatting xmlns:xm="http://schemas.microsoft.com/office/excel/2006/main">
          <x14:cfRule type="cellIs" priority="192" operator="equal" id="{941D2810-A3FA-4ADA-9D5A-53943FE7322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93" operator="equal" id="{A566BEC6-749F-4826-BE0E-CF5205E60E9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Y12:Y13</xm:sqref>
        </x14:conditionalFormatting>
        <x14:conditionalFormatting xmlns:xm="http://schemas.microsoft.com/office/excel/2006/main">
          <x14:cfRule type="cellIs" priority="190" operator="equal" id="{514ABE93-5664-4927-836C-488839A5C6E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91" operator="equal" id="{BF6896EE-C0BE-4536-A6D7-4E4325532BE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Y16</xm:sqref>
        </x14:conditionalFormatting>
        <x14:conditionalFormatting xmlns:xm="http://schemas.microsoft.com/office/excel/2006/main">
          <x14:cfRule type="cellIs" priority="188" operator="equal" id="{712C6365-B359-4E22-B050-7A42DAE5F65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9" operator="equal" id="{C2C8335C-B4B7-4B39-8B6A-ACDD3F2A913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Y17:Y18</xm:sqref>
        </x14:conditionalFormatting>
        <x14:conditionalFormatting xmlns:xm="http://schemas.microsoft.com/office/excel/2006/main">
          <x14:cfRule type="cellIs" priority="186" operator="equal" id="{579DE7DE-0145-4DAC-AA28-522962010A8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7" operator="equal" id="{F8CD547D-A8BA-4E88-913C-3038D220F82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Y21</xm:sqref>
        </x14:conditionalFormatting>
        <x14:conditionalFormatting xmlns:xm="http://schemas.microsoft.com/office/excel/2006/main">
          <x14:cfRule type="cellIs" priority="184" operator="equal" id="{66C22171-A99C-4A62-80E6-4CA198B9938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5" operator="equal" id="{672EBC61-78E3-4EA8-B3E6-59C5D6A400B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Y22:Y23</xm:sqref>
        </x14:conditionalFormatting>
        <x14:conditionalFormatting xmlns:xm="http://schemas.microsoft.com/office/excel/2006/main">
          <x14:cfRule type="cellIs" priority="182" operator="equal" id="{56EBDCC8-6335-4CA2-B0D8-E4E85C718A8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3" operator="equal" id="{A1BBDD56-8C3D-413A-98C0-1A7CABB904C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Y26</xm:sqref>
        </x14:conditionalFormatting>
        <x14:conditionalFormatting xmlns:xm="http://schemas.microsoft.com/office/excel/2006/main">
          <x14:cfRule type="cellIs" priority="180" operator="equal" id="{67BD013C-85A4-454B-A1B0-E6D5103DAFA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1" operator="equal" id="{A038E8B3-918A-4FEC-9DB8-C4176A22F87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Y27:Y28</xm:sqref>
        </x14:conditionalFormatting>
        <x14:conditionalFormatting xmlns:xm="http://schemas.microsoft.com/office/excel/2006/main">
          <x14:cfRule type="cellIs" priority="178" operator="equal" id="{A3752B0F-A3CD-42D8-824A-25D6271AD73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9" operator="equal" id="{DC61C529-4725-49F8-8DAF-E102FB49800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Y31</xm:sqref>
        </x14:conditionalFormatting>
        <x14:conditionalFormatting xmlns:xm="http://schemas.microsoft.com/office/excel/2006/main">
          <x14:cfRule type="cellIs" priority="176" operator="equal" id="{1228F4B1-B8DB-44EB-8618-D5B750951B4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7" operator="equal" id="{8C7DA329-93F9-42C6-A243-92BDF82B4F1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Y32:Y33</xm:sqref>
        </x14:conditionalFormatting>
        <x14:conditionalFormatting xmlns:xm="http://schemas.microsoft.com/office/excel/2006/main">
          <x14:cfRule type="cellIs" priority="174" operator="equal" id="{2AC8B5F0-692B-4C29-B117-EEBD63678017}">
            <xm:f>HandsOff_Basisdata!$A$11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75" operator="equal" id="{35CE33D7-653F-4BB5-90A5-6184734BDFC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m:sqref>W34</xm:sqref>
        </x14:conditionalFormatting>
        <x14:conditionalFormatting xmlns:xm="http://schemas.microsoft.com/office/excel/2006/main">
          <x14:cfRule type="cellIs" priority="172" operator="equal" id="{98FBFF1D-B5BF-4609-9A15-D14E25A4B77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3" operator="equal" id="{46FD0FFD-E527-460A-841A-3CBE7809435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X11</xm:sqref>
        </x14:conditionalFormatting>
        <x14:conditionalFormatting xmlns:xm="http://schemas.microsoft.com/office/excel/2006/main">
          <x14:cfRule type="cellIs" priority="170" operator="equal" id="{A6CE6A84-E145-453D-8148-CFD349A1CE9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1" operator="equal" id="{39094DC1-A6ED-4F0F-8B35-75402235623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X12:X13</xm:sqref>
        </x14:conditionalFormatting>
        <x14:conditionalFormatting xmlns:xm="http://schemas.microsoft.com/office/excel/2006/main">
          <x14:cfRule type="cellIs" priority="168" operator="equal" id="{DE4DC060-8FB5-4491-967F-F81AC2B2EED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69" operator="equal" id="{C657E268-4253-4F79-A3D5-8EE80A6D805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X16</xm:sqref>
        </x14:conditionalFormatting>
        <x14:conditionalFormatting xmlns:xm="http://schemas.microsoft.com/office/excel/2006/main">
          <x14:cfRule type="cellIs" priority="166" operator="equal" id="{74B90B76-C8AF-4493-8EA2-21E48FC7E50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67" operator="equal" id="{30961719-2196-4C26-89E5-17FA77459B0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X17:X18</xm:sqref>
        </x14:conditionalFormatting>
        <x14:conditionalFormatting xmlns:xm="http://schemas.microsoft.com/office/excel/2006/main">
          <x14:cfRule type="cellIs" priority="164" operator="equal" id="{54596CA1-B112-4B98-BBCF-6B852AD2F6C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65" operator="equal" id="{C3661495-F82E-4F5F-9830-0145C0BC8C8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X21</xm:sqref>
        </x14:conditionalFormatting>
        <x14:conditionalFormatting xmlns:xm="http://schemas.microsoft.com/office/excel/2006/main">
          <x14:cfRule type="cellIs" priority="162" operator="equal" id="{187827FF-621C-4C56-B335-EC0FFCB3CCA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63" operator="equal" id="{8214884D-7A5B-4B8F-8AB2-831C52795E2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X22:X23</xm:sqref>
        </x14:conditionalFormatting>
        <x14:conditionalFormatting xmlns:xm="http://schemas.microsoft.com/office/excel/2006/main">
          <x14:cfRule type="cellIs" priority="160" operator="equal" id="{F6DEA23D-3B41-4DB7-BF99-BF64BC8AEEC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61" operator="equal" id="{FD900AFC-54E3-4C27-9A73-FCD7552AB1B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X26</xm:sqref>
        </x14:conditionalFormatting>
        <x14:conditionalFormatting xmlns:xm="http://schemas.microsoft.com/office/excel/2006/main">
          <x14:cfRule type="cellIs" priority="158" operator="equal" id="{53E2B331-C738-466F-8C1A-D1111A7F0C7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9" operator="equal" id="{86DB9677-A5B1-45EF-B8FB-E93F3B5FB5B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X27:X28</xm:sqref>
        </x14:conditionalFormatting>
        <x14:conditionalFormatting xmlns:xm="http://schemas.microsoft.com/office/excel/2006/main">
          <x14:cfRule type="cellIs" priority="156" operator="equal" id="{12D7CAC6-48A9-45CE-99AB-E14540F6DAF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7" operator="equal" id="{B917181E-D24A-4507-967D-990CA6FCCFF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X31</xm:sqref>
        </x14:conditionalFormatting>
        <x14:conditionalFormatting xmlns:xm="http://schemas.microsoft.com/office/excel/2006/main">
          <x14:cfRule type="cellIs" priority="154" operator="equal" id="{961C04F7-0CAF-41A7-BDC9-39ED1BD0F08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5" operator="equal" id="{D5E3BC7B-3E07-4351-A638-C0D427E93A0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X32:X33</xm:sqref>
        </x14:conditionalFormatting>
        <x14:conditionalFormatting xmlns:xm="http://schemas.microsoft.com/office/excel/2006/main">
          <x14:cfRule type="cellIs" priority="151" operator="equal" id="{CECC03C9-A830-4D0D-8DFD-FA2A93D3F36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2" operator="equal" id="{35EDF3A8-0DAE-4C26-BAA0-69E9CB2BD7A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cellIs" priority="147" operator="equal" id="{446DA911-8BC2-4C0C-A41D-2A2AFF45450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48" operator="equal" id="{9D4A8A02-84D8-4830-976A-8E352826E8D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J16</xm:sqref>
        </x14:conditionalFormatting>
        <x14:conditionalFormatting xmlns:xm="http://schemas.microsoft.com/office/excel/2006/main">
          <x14:cfRule type="cellIs" priority="686" operator="equal" id="{5AC9CEE8-BFEF-4B85-9699-540F3EF0502D}">
            <xm:f>HandsOff_Basisdata!$U$135</xm:f>
            <x14:dxf>
              <fill>
                <patternFill>
                  <bgColor theme="7" tint="0.79998168889431442"/>
                </patternFill>
              </fill>
            </x14:dxf>
          </x14:cfRule>
          <xm:sqref>J41:T41 R65:AA65</xm:sqref>
        </x14:conditionalFormatting>
        <x14:conditionalFormatting xmlns:xm="http://schemas.microsoft.com/office/excel/2006/main">
          <x14:cfRule type="cellIs" priority="137" operator="equal" id="{2F936B40-A2EF-4B7A-939C-9BB16E8ECFE6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8" operator="equal" id="{EDAB3549-E031-4894-A708-6170441D18A0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35" operator="equal" id="{B00BCF2F-02D2-4361-B160-163E1CDB1E13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6" operator="equal" id="{99123B72-957D-4E55-91DC-4D04F87EA02E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ellIs" priority="133" operator="equal" id="{70D48513-33F3-471A-BA4E-DD927732EB9F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4" operator="equal" id="{8B1E39BA-BB13-47A0-9234-6B1C5BDBF13A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U25</xm:sqref>
        </x14:conditionalFormatting>
        <x14:conditionalFormatting xmlns:xm="http://schemas.microsoft.com/office/excel/2006/main">
          <x14:cfRule type="cellIs" priority="131" operator="equal" id="{5A8D2168-3E0A-4CDA-981D-2024DF2A237B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2" operator="equal" id="{E30CA902-2933-4C92-AC5E-A06537BE7045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U30</xm:sqref>
        </x14:conditionalFormatting>
        <x14:conditionalFormatting xmlns:xm="http://schemas.microsoft.com/office/excel/2006/main">
          <x14:cfRule type="cellIs" priority="129" operator="equal" id="{5F4AB105-0249-47FC-A751-222514A72FE1}">
            <xm:f>HandsOff_Basisdata!$A$12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0" operator="equal" id="{82D421C4-64CA-4FE4-BB08-EE38AE765FE3}">
            <xm:f>HandsOff_Basisdata!$A$11</xm:f>
            <x14:dxf>
              <fill>
                <patternFill>
                  <bgColor rgb="FFFF7C80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cellIs" priority="687" operator="equal" id="{6772DD18-441A-4580-B72F-EF4101056D3A}">
            <xm:f>HandsOff_Basisdata!$H$103</xm:f>
            <x14:dxf>
              <fill>
                <patternFill>
                  <bgColor rgb="FFFFFF99"/>
                </patternFill>
              </fill>
            </x14:dxf>
          </x14:cfRule>
          <x14:cfRule type="cellIs" priority="688" operator="equal" id="{256DB394-0103-4588-A6FB-8F4D675D0643}">
            <xm:f>HandsOff_Basisdata!$H$102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689" operator="equal" id="{ED48C08F-1C48-4ADE-8CCE-AB66B4C28EB3}">
            <xm:f>HandsOff_Basisdata!$H$101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690" operator="equal" id="{18FE88DC-355E-4BC2-AFAA-A92CD5E8C072}">
            <xm:f>HandsOff_Basisdata!$H$100</xm:f>
            <x14:dxf>
              <fill>
                <patternFill>
                  <bgColor theme="9" tint="0.39994506668294322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cellIs" priority="125" operator="equal" id="{7B0E14D0-8E85-47ED-B622-1A64D2A36306}">
            <xm:f>HandsOff_Basisdata!$K$9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126" operator="equal" id="{15B0AA3F-A69F-4B5B-B949-F8BF20082D93}">
            <xm:f>HandsOff_Basisdata!$K$8</xm:f>
            <x14:dxf>
              <fill>
                <patternFill>
                  <bgColor rgb="FFFFFFCC"/>
                </patternFill>
              </fill>
            </x14:dxf>
          </x14:cfRule>
          <x14:cfRule type="cellIs" priority="127" operator="equal" id="{479E1298-50B1-401E-86E4-2A4F68276176}">
            <xm:f>HandsOff_Basisdata!$K$7</xm:f>
            <x14:dxf>
              <fill>
                <patternFill>
                  <bgColor theme="5" tint="0.79998168889431442"/>
                </patternFill>
              </fill>
            </x14:dxf>
          </x14:cfRule>
          <x14:cfRule type="cellIs" priority="128" operator="equal" id="{92A0F27E-8E25-4223-893F-E11A61848A92}">
            <xm:f>HandsOff_Basisdata!$K$6</xm:f>
            <x14:dxf>
              <fill>
                <patternFill>
                  <bgColor theme="9" tint="0.39994506668294322"/>
                </patternFill>
              </fill>
            </x14:dxf>
          </x14:cfRule>
          <xm:sqref>J38:T38</xm:sqref>
        </x14:conditionalFormatting>
        <x14:conditionalFormatting xmlns:xm="http://schemas.microsoft.com/office/excel/2006/main">
          <x14:cfRule type="cellIs" priority="119" operator="equal" id="{B3611677-AE42-461B-8F11-F1AD2F4771BB}">
            <xm:f>HandsOff_Basisdata!$H$103</xm:f>
            <x14:dxf>
              <fill>
                <patternFill>
                  <bgColor rgb="FFFFFF99"/>
                </patternFill>
              </fill>
            </x14:dxf>
          </x14:cfRule>
          <x14:cfRule type="cellIs" priority="120" operator="equal" id="{FC987E92-DC01-4B0C-8453-E7676C454F0A}">
            <xm:f>HandsOff_Basisdata!$H$102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121" operator="equal" id="{D3306E71-E347-4B0C-A109-71413CBD39EA}">
            <xm:f>HandsOff_Basisdata!$H$101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122" operator="equal" id="{F54A03B2-9501-4A5E-A215-8C46AB32D5BF}">
            <xm:f>HandsOff_Basisdata!$H$100</xm:f>
            <x14:dxf>
              <fill>
                <patternFill>
                  <bgColor theme="9" tint="0.39994506668294322"/>
                </patternFill>
              </fill>
            </x14:dxf>
          </x14:cfRule>
          <xm:sqref>T63</xm:sqref>
        </x14:conditionalFormatting>
        <x14:conditionalFormatting xmlns:xm="http://schemas.microsoft.com/office/excel/2006/main">
          <x14:cfRule type="cellIs" priority="103" operator="equal" id="{10DB82C6-FC9B-4F13-B43F-73581F554C6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4" operator="equal" id="{CA74A4ED-6C66-4584-BBF4-A55DE2A219B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J26</xm:sqref>
        </x14:conditionalFormatting>
        <x14:conditionalFormatting xmlns:xm="http://schemas.microsoft.com/office/excel/2006/main">
          <x14:cfRule type="cellIs" priority="84" operator="equal" id="{9B68AEF6-B870-432F-B68A-37B42DC2EB61}">
            <xm:f>HandsOff_Basisdata!$G$2</xm:f>
            <x14:dxf>
              <fill>
                <patternFill>
                  <bgColor theme="5" tint="0.39994506668294322"/>
                </patternFill>
              </fill>
            </x14:dxf>
          </x14:cfRule>
          <xm:sqref>W58:AA59 J37:N37</xm:sqref>
        </x14:conditionalFormatting>
        <x14:conditionalFormatting xmlns:xm="http://schemas.microsoft.com/office/excel/2006/main">
          <x14:cfRule type="cellIs" priority="83" operator="equal" id="{83538509-7652-4245-BBD6-C917033173A7}">
            <xm:f>HandsOff_Basisdata!$M$2</xm:f>
            <x14:dxf>
              <fill>
                <patternFill>
                  <bgColor theme="9" tint="0.39994506668294322"/>
                </patternFill>
              </fill>
            </x14:dxf>
          </x14:cfRule>
          <xm:sqref>W58:AA59 J37:N37</xm:sqref>
        </x14:conditionalFormatting>
        <x14:conditionalFormatting xmlns:xm="http://schemas.microsoft.com/office/excel/2006/main">
          <x14:cfRule type="cellIs" priority="82" operator="equal" id="{381A4179-A471-4B39-A310-6AB452E12035}">
            <xm:f>HandsOff_Basisdata!$T$2</xm:f>
            <x14:dxf>
              <fill>
                <patternFill>
                  <bgColor theme="9" tint="0.79998168889431442"/>
                </patternFill>
              </fill>
            </x14:dxf>
          </x14:cfRule>
          <xm:sqref>W58:AA59 J37:N37</xm:sqref>
        </x14:conditionalFormatting>
        <x14:conditionalFormatting xmlns:xm="http://schemas.microsoft.com/office/excel/2006/main">
          <x14:cfRule type="cellIs" priority="81" operator="equal" id="{D9E6632A-0592-4D64-8F25-A57065ED251A}">
            <xm:f>HandsOff_Basisdata!$AA$2</xm:f>
            <x14:dxf>
              <fill>
                <patternFill>
                  <bgColor theme="5" tint="0.39994506668294322"/>
                </patternFill>
              </fill>
            </x14:dxf>
          </x14:cfRule>
          <xm:sqref>W58:AA59 J37:N37</xm:sqref>
        </x14:conditionalFormatting>
        <x14:conditionalFormatting xmlns:xm="http://schemas.microsoft.com/office/excel/2006/main">
          <x14:cfRule type="cellIs" priority="80" operator="equal" id="{22994A81-26AD-4B98-B037-9DBA084A1B28}">
            <xm:f>HandsOff_Basisdata!$AE$2</xm:f>
            <x14:dxf>
              <fill>
                <patternFill>
                  <bgColor theme="9" tint="0.39994506668294322"/>
                </patternFill>
              </fill>
            </x14:dxf>
          </x14:cfRule>
          <xm:sqref>W58:AA59 J37:N37</xm:sqref>
        </x14:conditionalFormatting>
        <x14:conditionalFormatting xmlns:xm="http://schemas.microsoft.com/office/excel/2006/main">
          <x14:cfRule type="cellIs" priority="79" operator="equal" id="{9B61C6B4-5B9B-4AC7-8E9F-B67E53E12B20}">
            <xm:f>HandsOff_Basisdata!$AH$2</xm:f>
            <x14:dxf>
              <fill>
                <patternFill>
                  <bgColor theme="9" tint="0.79998168889431442"/>
                </patternFill>
              </fill>
            </x14:dxf>
          </x14:cfRule>
          <xm:sqref>W58:AA59 J37:N37</xm:sqref>
        </x14:conditionalFormatting>
        <x14:conditionalFormatting xmlns:xm="http://schemas.microsoft.com/office/excel/2006/main">
          <x14:cfRule type="cellIs" priority="78" operator="equal" id="{C12BDC2B-317C-4A6B-9F1A-E4B0527DC851}">
            <xm:f>HandsOff_Basisdata!$G$3</xm:f>
            <x14:dxf>
              <fill>
                <patternFill>
                  <bgColor theme="5" tint="0.39994506668294322"/>
                </patternFill>
              </fill>
            </x14:dxf>
          </x14:cfRule>
          <xm:sqref>P37:T37 W61:AA62</xm:sqref>
        </x14:conditionalFormatting>
        <x14:conditionalFormatting xmlns:xm="http://schemas.microsoft.com/office/excel/2006/main">
          <x14:cfRule type="cellIs" priority="77" operator="equal" id="{EDCC75A2-606A-491D-B94D-CA11C3320177}">
            <xm:f>HandsOff_Basisdata!$M$3</xm:f>
            <x14:dxf>
              <fill>
                <patternFill>
                  <bgColor theme="9" tint="0.39994506668294322"/>
                </patternFill>
              </fill>
            </x14:dxf>
          </x14:cfRule>
          <xm:sqref>P37:T37 W61:AA62</xm:sqref>
        </x14:conditionalFormatting>
        <x14:conditionalFormatting xmlns:xm="http://schemas.microsoft.com/office/excel/2006/main">
          <x14:cfRule type="cellIs" priority="76" operator="equal" id="{A56FCC3B-B24A-4337-8C20-D78BA73BF7AE}">
            <xm:f>HandsOff_Basisdata!$T$3</xm:f>
            <x14:dxf>
              <fill>
                <patternFill>
                  <bgColor theme="9" tint="0.79998168889431442"/>
                </patternFill>
              </fill>
            </x14:dxf>
          </x14:cfRule>
          <xm:sqref>P37:T37 W61:AA62</xm:sqref>
        </x14:conditionalFormatting>
        <x14:conditionalFormatting xmlns:xm="http://schemas.microsoft.com/office/excel/2006/main">
          <x14:cfRule type="cellIs" priority="75" operator="equal" id="{53606A8D-2879-4ACB-A956-850E9827B456}">
            <xm:f>HandsOff_Basisdata!$AA$3</xm:f>
            <x14:dxf>
              <fill>
                <patternFill>
                  <bgColor theme="5" tint="0.39994506668294322"/>
                </patternFill>
              </fill>
            </x14:dxf>
          </x14:cfRule>
          <xm:sqref>P37:T37 W61:AA62</xm:sqref>
        </x14:conditionalFormatting>
        <x14:conditionalFormatting xmlns:xm="http://schemas.microsoft.com/office/excel/2006/main">
          <x14:cfRule type="cellIs" priority="74" operator="equal" id="{8B81ACC4-FD6B-43FD-B060-4976C3E39673}">
            <xm:f>HandsOff_Basisdata!$AE$3</xm:f>
            <x14:dxf>
              <fill>
                <patternFill>
                  <bgColor theme="9" tint="0.39994506668294322"/>
                </patternFill>
              </fill>
            </x14:dxf>
          </x14:cfRule>
          <xm:sqref>P37:T37 W61:AA62</xm:sqref>
        </x14:conditionalFormatting>
        <x14:conditionalFormatting xmlns:xm="http://schemas.microsoft.com/office/excel/2006/main">
          <x14:cfRule type="cellIs" priority="73" operator="equal" id="{02F49FD2-03E7-40FD-ACC5-821D8CF5FB62}">
            <xm:f>HandsOff_Basisdata!$AH$3</xm:f>
            <x14:dxf>
              <fill>
                <patternFill>
                  <bgColor theme="9" tint="0.39994506668294322"/>
                </patternFill>
              </fill>
            </x14:dxf>
          </x14:cfRule>
          <xm:sqref>P37:T37 W61:AA62</xm:sqref>
        </x14:conditionalFormatting>
        <x14:conditionalFormatting xmlns:xm="http://schemas.microsoft.com/office/excel/2006/main">
          <x14:cfRule type="cellIs" priority="66" operator="equal" id="{982D4F74-B9E4-4106-B8E7-537AAFEEC1A5}">
            <xm:f>HandsOff_Basisdata!$A$13</xm:f>
            <x14:dxf>
              <fill>
                <patternFill>
                  <bgColor theme="5" tint="0.39994506668294322"/>
                </patternFill>
              </fill>
            </x14:dxf>
          </x14:cfRule>
          <xm:sqref>X55:AA55</xm:sqref>
        </x14:conditionalFormatting>
        <x14:conditionalFormatting xmlns:xm="http://schemas.microsoft.com/office/excel/2006/main">
          <x14:cfRule type="cellIs" priority="65" operator="equal" id="{908751C7-0074-4632-B582-201705089357}">
            <xm:f>HandsOff_Basisdata!$K$18</xm:f>
            <x14:dxf>
              <fill>
                <patternFill>
                  <bgColor theme="0" tint="-0.14996795556505021"/>
                </patternFill>
              </fill>
            </x14:dxf>
          </x14:cfRule>
          <xm:sqref>W34:AA34</xm:sqref>
        </x14:conditionalFormatting>
        <x14:conditionalFormatting xmlns:xm="http://schemas.microsoft.com/office/excel/2006/main">
          <x14:cfRule type="cellIs" priority="63" operator="equal" id="{5DFE32C8-2E3B-492D-91BC-31AFA9A84A7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4" operator="equal" id="{9FA19756-92EC-4D78-9582-DE94F4E03DD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R27:T27</xm:sqref>
        </x14:conditionalFormatting>
        <x14:conditionalFormatting xmlns:xm="http://schemas.microsoft.com/office/excel/2006/main">
          <x14:cfRule type="cellIs" priority="61" operator="equal" id="{A3227BBA-03CC-4D47-B16C-D55C1EFDCC5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2" operator="equal" id="{63909778-6CA5-4630-AC44-E74294E8C8B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ellIs" priority="59" operator="equal" id="{5E8D0E45-A515-4133-83F1-4C86FF72E3E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0" operator="equal" id="{EBE0925D-96AB-4B99-8BE7-2C48C2827FB9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cellIs" priority="57" operator="equal" id="{CF96641F-2F75-4844-935D-85DB4EFA2DA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FE6BEC74-9D27-4343-8218-FEEF5B561BF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J53</xm:sqref>
        </x14:conditionalFormatting>
        <x14:conditionalFormatting xmlns:xm="http://schemas.microsoft.com/office/excel/2006/main">
          <x14:cfRule type="cellIs" priority="55" operator="equal" id="{E3A943C3-58B9-42E2-82C1-81B569F8233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6" operator="equal" id="{5BBBF178-D0AF-41F6-8E3F-AD4BD26EF44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L53</xm:sqref>
        </x14:conditionalFormatting>
        <x14:conditionalFormatting xmlns:xm="http://schemas.microsoft.com/office/excel/2006/main">
          <x14:cfRule type="cellIs" priority="53" operator="equal" id="{BBC335C7-7615-4F54-AC73-1702CF2E440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4" operator="equal" id="{987D86F3-6AC7-4936-A993-A344ED90A0F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K53</xm:sqref>
        </x14:conditionalFormatting>
        <x14:conditionalFormatting xmlns:xm="http://schemas.microsoft.com/office/excel/2006/main">
          <x14:cfRule type="cellIs" priority="51" operator="equal" id="{4CFB1202-FD3E-46EA-BDF5-E1D6D60B46F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" operator="equal" id="{E0CF454C-94D3-4A42-9A5A-D0B9FC46096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L21 J23 L23</xm:sqref>
        </x14:conditionalFormatting>
        <x14:conditionalFormatting xmlns:xm="http://schemas.microsoft.com/office/excel/2006/main">
          <x14:cfRule type="cellIs" priority="49" operator="equal" id="{0ED6E01C-13AC-4FB0-AD04-9F9DDC38023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0" operator="equal" id="{C803156E-437E-4ED0-9EC4-8E90D858BC9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47" operator="equal" id="{D0E422CC-A0A9-4019-86A1-19C7BC8FFEE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5C25F1B5-104E-4D41-95D4-6B9ED29C508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cellIs" priority="45" operator="equal" id="{37C0FDF4-F497-4C47-B8D3-4470A2442E38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" operator="equal" id="{953FB102-3535-452F-ADB4-82502D23312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43" operator="equal" id="{4329ECA2-B57B-4D3B-8725-15D0204CDDE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4" operator="equal" id="{58088A96-A096-4DEC-9712-C01F100BE14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cellIs" priority="41" operator="equal" id="{F06AA475-7ACC-4824-8F3C-F9ABA8EDAE1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" operator="equal" id="{F88CA344-9914-44CC-A825-C41BB71CFBEC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K22</xm:sqref>
        </x14:conditionalFormatting>
        <x14:conditionalFormatting xmlns:xm="http://schemas.microsoft.com/office/excel/2006/main">
          <x14:cfRule type="cellIs" priority="37" operator="equal" id="{105EB0BA-DE55-46B6-9D05-C747EB4AE18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E10689F2-E898-4D27-9291-326B724AA1C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L31</xm:sqref>
        </x14:conditionalFormatting>
        <x14:conditionalFormatting xmlns:xm="http://schemas.microsoft.com/office/excel/2006/main">
          <x14:cfRule type="cellIs" priority="35" operator="equal" id="{54694623-271F-43FB-8984-A59AC618B8B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" operator="equal" id="{D031D8AC-F0D8-48E2-91E2-8A22D4110035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K31</xm:sqref>
        </x14:conditionalFormatting>
        <x14:conditionalFormatting xmlns:xm="http://schemas.microsoft.com/office/excel/2006/main">
          <x14:cfRule type="cellIs" priority="31" operator="equal" id="{911AB246-9283-471F-BB04-8B200A89821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1146AB73-CAD6-4D42-85E3-D067F3D48BD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ellIs" priority="29" operator="equal" id="{3E2C1BAC-4C23-4CAF-B334-252F7FC22271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" operator="equal" id="{54C08932-130F-4ACC-9B53-C0A8649366B3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ellIs" priority="25" operator="equal" id="{7165A4EB-C33E-4D15-8AD1-4896949A89EE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6" operator="equal" id="{7FA95FA9-7083-4AD4-9CDD-266C8D6E0D7F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ellIs" priority="23" operator="equal" id="{CECCDCDC-4268-4AE6-8597-07407A1B9116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4" operator="equal" id="{3F0361E1-AFF4-4BC5-9347-042715B53CA4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ellIs" priority="19" operator="equal" id="{BA8B0F70-9E45-437E-9273-68072F4F64C1}">
            <xm:f>'[20220829_MBtMSc_NN.VN_ver.20220829 - Weiterentwicklung.xlsx]HandsOff_Basisdata'!#REF!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" operator="equal" id="{04109B0A-3681-43EA-8316-5F20CC305CFB}">
            <xm:f>'[20220829_MBtMSc_NN.VN_ver.20220829 - Weiterentwicklung.xlsx]HandsOff_Basisdata'!#REF!</xm:f>
            <x14:dxf>
              <fill>
                <patternFill>
                  <bgColor rgb="FFFF7C8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ellIs" priority="17" operator="equal" id="{2C9EC662-924C-4368-826B-D935CAAAA8A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38B3F9-8F58-48DF-8639-7A9EDD72766D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ellIs" priority="13" operator="equal" id="{1658769C-FB43-489C-B11B-3B87389E387B}">
            <xm:f>'[20220829_MBtMSc_NN.VN_ver.20220829 - Weiterentwicklung.xlsx]HandsOff_Basisdata'!#REF!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4" operator="equal" id="{F247E7A5-0D14-4DE6-9C8E-C56D22A4202D}">
            <xm:f>'[20220829_MBtMSc_NN.VN_ver.20220829 - Weiterentwicklung.xlsx]HandsOff_Basisdata'!#REF!</xm:f>
            <x14:dxf>
              <fill>
                <patternFill>
                  <bgColor rgb="FFFF7C80"/>
                </patternFill>
              </fill>
            </x14:dxf>
          </x14:cfRule>
          <xm:sqref>W26</xm:sqref>
        </x14:conditionalFormatting>
        <x14:conditionalFormatting xmlns:xm="http://schemas.microsoft.com/office/excel/2006/main">
          <x14:cfRule type="cellIs" priority="11" operator="equal" id="{981759A6-2810-4A1F-A9A3-8F91AD82FE9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2" operator="equal" id="{918B5EF7-58A2-4597-987B-B8A110EFD65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J22</xm:sqref>
        </x14:conditionalFormatting>
        <x14:conditionalFormatting xmlns:xm="http://schemas.microsoft.com/office/excel/2006/main">
          <x14:cfRule type="cellIs" priority="7" operator="equal" id="{BA272393-7F1D-42F5-B17A-F10B62E55607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1997D-4119-49EF-B427-AB8CECE3507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P21</xm:sqref>
        </x14:conditionalFormatting>
        <x14:conditionalFormatting xmlns:xm="http://schemas.microsoft.com/office/excel/2006/main">
          <x14:cfRule type="cellIs" priority="5" operator="equal" id="{6315C597-28E3-4715-AF6E-E5CE46EA017A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" operator="equal" id="{7C836364-DC2F-4F20-BB1B-C6E33E61ED1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ellIs" priority="3" operator="equal" id="{60760A59-C426-4584-82FE-68B494D52A6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" operator="equal" id="{8445FDDC-28AE-466A-B96E-4CA6797D4B50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ellIs" priority="1" operator="equal" id="{CA4492FD-AAE3-493C-BE9D-A37917B9B142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" operator="equal" id="{15199EDC-9CF1-4C10-ACEE-6E00D4AB995B}">
            <xm:f>'C:\Users\Michael Scharmann\Documents\!Studienpläne\Documents\AppData\Local\Microsoft\Windows\INetCache\Content.Outlook\BCV7S1EH\[Kontolle_Falk_Lisa_20210818e_überarbeitet.xlsx]Basisdata'!#REF!</xm:f>
            <x14:dxf>
              <fill>
                <patternFill>
                  <bgColor rgb="FFFF7C80"/>
                </patternFill>
              </fill>
            </x14:dxf>
          </x14:cfRule>
          <xm:sqref>J31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>
          <x14:formula1>
            <xm:f>HandsOff_Basisdata!$A$23:$A$37</xm:f>
          </x14:formula1>
          <xm:sqref>P5</xm:sqref>
        </x14:dataValidation>
        <x14:dataValidation type="list" allowBlank="1" showInputMessage="1" showErrorMessage="1">
          <x14:formula1>
            <xm:f>HandsOff_Basisdata!$A$16:$A$20</xm:f>
          </x14:formula1>
          <xm:sqref>W3</xm:sqref>
        </x14:dataValidation>
        <x14:dataValidation type="list" errorStyle="warning" allowBlank="1" showInputMessage="1" showErrorMessage="1" prompt="Wann geplant">
          <x14:formula1>
            <xm:f>HandsOff_Basisdata!$A$53:$A$71</xm:f>
          </x14:formula1>
          <xm:sqref>M11:M14 S26:S29 M21:M24 S11:S14 S16:S19 S21:S23 G31:G32 M26:M29 M31:M34 S31:S34 Z11:Z13 Z16:Z18 G26:G27 Z26:Z28 Z31:Z33 S44 M44 Z21:Z23 M61:M63 M57:M59 M65:M67 M69:M70 M16:M19 G11:G12 G16:G17 G21:G22 M53:M55</xm:sqref>
        </x14:dataValidation>
        <x14:dataValidation type="list" errorStyle="warning" allowBlank="1" showInputMessage="1" showErrorMessage="1">
          <x14:formula1>
            <xm:f>HandsOff_Basisdata!$A$75:$A$76</xm:f>
          </x14:formula1>
          <xm:sqref>D11:D12</xm:sqref>
        </x14:dataValidation>
        <x14:dataValidation type="list" errorStyle="warning" allowBlank="1" showInputMessage="1" showErrorMessage="1">
          <x14:formula1>
            <xm:f>HandsOff_Basisdata!$A$77:$A$79</xm:f>
          </x14:formula1>
          <xm:sqref>D16:D17</xm:sqref>
        </x14:dataValidation>
        <x14:dataValidation type="list" errorStyle="warning" allowBlank="1" showInputMessage="1" showErrorMessage="1">
          <x14:formula1>
            <xm:f>HandsOff_Basisdata!$A$80:$A$81</xm:f>
          </x14:formula1>
          <xm:sqref>D21:D22</xm:sqref>
        </x14:dataValidation>
        <x14:dataValidation type="list" errorStyle="warning" allowBlank="1" showInputMessage="1" showErrorMessage="1">
          <x14:formula1>
            <xm:f>HandsOff_Basisdata!$A$82:$A$83</xm:f>
          </x14:formula1>
          <xm:sqref>D26:D27</xm:sqref>
        </x14:dataValidation>
        <x14:dataValidation type="list" errorStyle="warning" allowBlank="1" showInputMessage="1" showErrorMessage="1">
          <x14:formula1>
            <xm:f>HandsOff_Basisdata!$A$84:$A$87</xm:f>
          </x14:formula1>
          <xm:sqref>D31:D32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6"/>
  <sheetViews>
    <sheetView topLeftCell="D113" zoomScale="85" zoomScaleNormal="85" workbookViewId="0">
      <selection activeCell="S133" sqref="S133"/>
    </sheetView>
  </sheetViews>
  <sheetFormatPr baseColWidth="10" defaultColWidth="11.54296875" defaultRowHeight="14.5" x14ac:dyDescent="0.35"/>
  <cols>
    <col min="1" max="1" width="25.36328125" style="211" customWidth="1"/>
    <col min="2" max="3" width="11.54296875" style="211"/>
    <col min="4" max="4" width="22.453125" style="211" customWidth="1"/>
    <col min="5" max="6" width="11.54296875" style="211"/>
    <col min="7" max="12" width="7.6328125" style="211" customWidth="1"/>
    <col min="13" max="14" width="9.36328125" style="211" customWidth="1"/>
    <col min="15" max="18" width="11.54296875" style="211"/>
    <col min="19" max="19" width="13.1796875" style="211" customWidth="1"/>
    <col min="20" max="16384" width="11.54296875" style="211"/>
  </cols>
  <sheetData>
    <row r="1" spans="1:34" x14ac:dyDescent="0.35">
      <c r="A1" s="211" t="s">
        <v>10</v>
      </c>
      <c r="B1" s="211" t="s">
        <v>11</v>
      </c>
      <c r="C1" s="211">
        <v>40</v>
      </c>
      <c r="D1" s="212" t="s">
        <v>67</v>
      </c>
      <c r="E1" s="211">
        <v>40</v>
      </c>
    </row>
    <row r="2" spans="1:34" x14ac:dyDescent="0.35">
      <c r="A2" s="213" t="s">
        <v>12</v>
      </c>
      <c r="B2" s="213" t="s">
        <v>11</v>
      </c>
      <c r="C2" s="213">
        <v>12</v>
      </c>
      <c r="D2" s="212" t="s">
        <v>67</v>
      </c>
      <c r="E2" s="213">
        <v>22</v>
      </c>
      <c r="F2" s="213"/>
      <c r="G2" s="214" t="s">
        <v>205</v>
      </c>
      <c r="H2" s="213"/>
      <c r="I2" s="213"/>
      <c r="J2" s="213"/>
      <c r="K2" s="213"/>
      <c r="L2" s="213"/>
      <c r="M2" s="215" t="s">
        <v>206</v>
      </c>
      <c r="N2" s="213"/>
      <c r="O2" s="213"/>
      <c r="P2" s="213"/>
      <c r="Q2" s="213"/>
      <c r="R2" s="213"/>
      <c r="S2" s="213"/>
      <c r="T2" s="216" t="s">
        <v>225</v>
      </c>
      <c r="U2" s="213"/>
      <c r="V2" s="213"/>
      <c r="AA2" s="214" t="s">
        <v>217</v>
      </c>
      <c r="AE2" s="215" t="s">
        <v>208</v>
      </c>
      <c r="AH2" s="216" t="s">
        <v>209</v>
      </c>
    </row>
    <row r="3" spans="1:34" x14ac:dyDescent="0.35">
      <c r="A3" s="217" t="s">
        <v>13</v>
      </c>
      <c r="B3" s="217" t="s">
        <v>11</v>
      </c>
      <c r="C3" s="217">
        <v>15</v>
      </c>
      <c r="D3" s="218" t="s">
        <v>67</v>
      </c>
      <c r="E3" s="217">
        <v>25</v>
      </c>
      <c r="F3" s="217"/>
      <c r="G3" s="219" t="s">
        <v>212</v>
      </c>
      <c r="H3" s="217"/>
      <c r="I3" s="217"/>
      <c r="J3" s="217"/>
      <c r="K3" s="217"/>
      <c r="L3" s="217"/>
      <c r="M3" s="220" t="s">
        <v>213</v>
      </c>
      <c r="N3" s="217"/>
      <c r="O3" s="217"/>
      <c r="P3" s="217"/>
      <c r="Q3" s="217"/>
      <c r="R3" s="217"/>
      <c r="S3" s="217"/>
      <c r="T3" s="221" t="s">
        <v>207</v>
      </c>
      <c r="U3" s="217"/>
      <c r="AA3" s="219" t="s">
        <v>215</v>
      </c>
      <c r="AB3" s="217"/>
      <c r="AC3" s="217"/>
      <c r="AD3" s="217"/>
      <c r="AE3" s="220" t="s">
        <v>214</v>
      </c>
      <c r="AH3" s="221" t="s">
        <v>216</v>
      </c>
    </row>
    <row r="4" spans="1:34" x14ac:dyDescent="0.35">
      <c r="A4" s="211" t="s">
        <v>21</v>
      </c>
      <c r="C4" s="211">
        <v>10</v>
      </c>
    </row>
    <row r="5" spans="1:34" x14ac:dyDescent="0.35">
      <c r="A5" s="222" t="s">
        <v>165</v>
      </c>
      <c r="B5" s="222"/>
      <c r="C5" s="211">
        <f>SUM(C2:C4)</f>
        <v>37</v>
      </c>
      <c r="G5" s="223" t="s">
        <v>166</v>
      </c>
      <c r="H5" s="211">
        <f>'Ihr Studienplan'!U36</f>
        <v>40</v>
      </c>
      <c r="J5" s="224" t="s">
        <v>167</v>
      </c>
      <c r="K5" s="224"/>
      <c r="L5" s="225" t="s">
        <v>169</v>
      </c>
      <c r="M5" s="211" t="str">
        <f>IF(AND(H5&gt;=$C$5,H5&lt;H7),K6,IF(AND(H5&lt;$C$5,H5&gt;=1),K7,IF(H5=0,K8,IF(AND(H5&gt;$C$5,H5&gt;=H7),K9,""))))</f>
        <v>Eventuell / Womöglich zu viele CPs in (!) zeugnisrelevanten Vertiefungen. Bitte prüfen, ob durch Wegnahme von von 1 - n  Modulen von oberen heran näher an die 37 CP zu kommen ist!</v>
      </c>
    </row>
    <row r="6" spans="1:34" x14ac:dyDescent="0.35">
      <c r="A6" s="211" t="s">
        <v>14</v>
      </c>
      <c r="B6" s="211" t="s">
        <v>11</v>
      </c>
      <c r="C6" s="211">
        <v>8</v>
      </c>
      <c r="G6" s="223" t="s">
        <v>172</v>
      </c>
      <c r="H6" s="211">
        <v>3</v>
      </c>
      <c r="J6" s="224"/>
      <c r="K6" s="224" t="s">
        <v>168</v>
      </c>
    </row>
    <row r="7" spans="1:34" x14ac:dyDescent="0.35">
      <c r="A7" s="211" t="s">
        <v>15</v>
      </c>
      <c r="C7" s="211">
        <v>5</v>
      </c>
      <c r="H7" s="211">
        <f>C5+H6</f>
        <v>40</v>
      </c>
      <c r="J7" s="224"/>
      <c r="K7" s="224" t="s">
        <v>171</v>
      </c>
    </row>
    <row r="8" spans="1:34" x14ac:dyDescent="0.35">
      <c r="A8" s="211" t="s">
        <v>0</v>
      </c>
      <c r="C8" s="211">
        <v>30</v>
      </c>
      <c r="J8" s="224"/>
      <c r="K8" s="224" t="s">
        <v>170</v>
      </c>
    </row>
    <row r="9" spans="1:34" x14ac:dyDescent="0.35">
      <c r="A9" s="211" t="s">
        <v>17</v>
      </c>
      <c r="C9" s="211">
        <f>SUM(C1:C8)-C5</f>
        <v>120</v>
      </c>
      <c r="F9" s="223"/>
      <c r="J9" s="224"/>
      <c r="K9" s="224" t="s">
        <v>220</v>
      </c>
      <c r="AD9" s="211" t="str">
        <f>AA2</f>
        <v>CPs bei VTt liegen sogar noch unter Mindest-CPs</v>
      </c>
    </row>
    <row r="10" spans="1:34" x14ac:dyDescent="0.35">
      <c r="J10" s="224"/>
    </row>
    <row r="11" spans="1:34" x14ac:dyDescent="0.35">
      <c r="A11" s="211" t="s">
        <v>161</v>
      </c>
    </row>
    <row r="12" spans="1:34" x14ac:dyDescent="0.35">
      <c r="A12" s="211" t="s">
        <v>222</v>
      </c>
      <c r="M12" s="211" t="s">
        <v>196</v>
      </c>
    </row>
    <row r="13" spans="1:34" x14ac:dyDescent="0.35">
      <c r="A13" s="211" t="s">
        <v>221</v>
      </c>
      <c r="M13" s="226" t="str">
        <f>IF(AND(H5&gt;=$C$5,H5&lt;H7),K6,"wat1")</f>
        <v>wat1</v>
      </c>
      <c r="N13" s="226"/>
      <c r="O13" s="226"/>
      <c r="P13" s="226"/>
      <c r="Q13" s="226"/>
      <c r="R13" s="226"/>
      <c r="S13" s="226"/>
      <c r="T13" s="226"/>
    </row>
    <row r="14" spans="1:34" x14ac:dyDescent="0.35">
      <c r="M14" s="226" t="str">
        <f>IF(AND(H5&lt;$C$5,H5&gt;=1),K7,"wat 2")</f>
        <v>wat 2</v>
      </c>
      <c r="N14" s="226"/>
      <c r="O14" s="226"/>
      <c r="P14" s="226"/>
      <c r="Q14" s="226"/>
      <c r="R14" s="226"/>
      <c r="S14" s="226"/>
      <c r="T14" s="226"/>
    </row>
    <row r="15" spans="1:34" x14ac:dyDescent="0.35">
      <c r="M15" s="226" t="str">
        <f>IF(H5=0,K8,"wat 3")</f>
        <v>wat 3</v>
      </c>
      <c r="N15" s="226"/>
      <c r="O15" s="226"/>
      <c r="P15" s="226"/>
      <c r="Q15" s="226"/>
      <c r="R15" s="226"/>
      <c r="S15" s="226"/>
      <c r="T15" s="226"/>
    </row>
    <row r="16" spans="1:34" x14ac:dyDescent="0.35">
      <c r="A16" s="227" t="s">
        <v>40</v>
      </c>
      <c r="M16" s="226" t="str">
        <f>IF(AND(H5&gt;$C$5,H5&gt;=H7),K9,"wat 4")</f>
        <v>Eventuell / Womöglich zu viele CPs in (!) zeugnisrelevanten Vertiefungen. Bitte prüfen, ob durch Wegnahme von von 1 - n  Modulen von oberen heran näher an die 37 CP zu kommen ist!</v>
      </c>
      <c r="N16" s="226"/>
      <c r="O16" s="226"/>
      <c r="P16" s="226"/>
      <c r="Q16" s="226"/>
      <c r="R16" s="226"/>
      <c r="S16" s="226"/>
      <c r="T16" s="226"/>
    </row>
    <row r="17" spans="1:19" x14ac:dyDescent="0.35">
      <c r="A17" s="227" t="s">
        <v>33</v>
      </c>
    </row>
    <row r="18" spans="1:19" x14ac:dyDescent="0.35">
      <c r="A18" s="227" t="s">
        <v>41</v>
      </c>
      <c r="K18" s="224" t="s">
        <v>223</v>
      </c>
    </row>
    <row r="19" spans="1:19" x14ac:dyDescent="0.35">
      <c r="A19" s="227" t="s">
        <v>42</v>
      </c>
    </row>
    <row r="20" spans="1:19" x14ac:dyDescent="0.35">
      <c r="A20" s="227"/>
    </row>
    <row r="23" spans="1:19" x14ac:dyDescent="0.35">
      <c r="A23" s="227" t="s">
        <v>43</v>
      </c>
    </row>
    <row r="24" spans="1:19" x14ac:dyDescent="0.35">
      <c r="A24" s="227" t="str">
        <f>B24&amp;C24</f>
        <v>2018W</v>
      </c>
      <c r="B24" s="211">
        <v>2018</v>
      </c>
      <c r="C24" s="211" t="s">
        <v>45</v>
      </c>
    </row>
    <row r="25" spans="1:19" x14ac:dyDescent="0.35">
      <c r="A25" s="227" t="str">
        <f t="shared" ref="A25:A37" si="0">B25&amp;C25</f>
        <v>2019S</v>
      </c>
      <c r="B25" s="211">
        <v>2019</v>
      </c>
      <c r="C25" s="211" t="s">
        <v>44</v>
      </c>
    </row>
    <row r="26" spans="1:19" x14ac:dyDescent="0.35">
      <c r="A26" s="227" t="str">
        <f t="shared" si="0"/>
        <v>2019W</v>
      </c>
      <c r="B26" s="211">
        <v>2019</v>
      </c>
      <c r="C26" s="211" t="s">
        <v>45</v>
      </c>
    </row>
    <row r="27" spans="1:19" x14ac:dyDescent="0.35">
      <c r="A27" s="227" t="str">
        <f t="shared" si="0"/>
        <v>2020S</v>
      </c>
      <c r="B27" s="211">
        <v>2020</v>
      </c>
      <c r="C27" s="211" t="s">
        <v>44</v>
      </c>
      <c r="P27" s="228"/>
      <c r="Q27" s="228"/>
      <c r="R27" s="229"/>
      <c r="S27" s="229"/>
    </row>
    <row r="28" spans="1:19" ht="409.5" x14ac:dyDescent="0.35">
      <c r="A28" s="227" t="str">
        <f t="shared" si="0"/>
        <v>2020W</v>
      </c>
      <c r="B28" s="211">
        <v>2020</v>
      </c>
      <c r="C28" s="211" t="s">
        <v>45</v>
      </c>
      <c r="P28" s="230" t="s">
        <v>224</v>
      </c>
      <c r="Q28" s="228"/>
      <c r="R28" s="229"/>
      <c r="S28" s="229"/>
    </row>
    <row r="29" spans="1:19" x14ac:dyDescent="0.35">
      <c r="A29" s="227" t="str">
        <f t="shared" si="0"/>
        <v>2021S</v>
      </c>
      <c r="B29" s="211">
        <v>2021</v>
      </c>
      <c r="C29" s="211" t="s">
        <v>44</v>
      </c>
      <c r="P29" s="228"/>
      <c r="Q29" s="228"/>
      <c r="R29" s="229"/>
      <c r="S29" s="229"/>
    </row>
    <row r="30" spans="1:19" x14ac:dyDescent="0.35">
      <c r="A30" s="227" t="str">
        <f t="shared" si="0"/>
        <v>2021W</v>
      </c>
      <c r="B30" s="211">
        <v>2021</v>
      </c>
      <c r="C30" s="211" t="s">
        <v>45</v>
      </c>
      <c r="P30" s="228"/>
      <c r="Q30" s="228"/>
      <c r="R30" s="229"/>
      <c r="S30" s="229"/>
    </row>
    <row r="31" spans="1:19" x14ac:dyDescent="0.35">
      <c r="A31" s="227" t="str">
        <f t="shared" si="0"/>
        <v>2022S</v>
      </c>
      <c r="B31" s="211">
        <v>2022</v>
      </c>
      <c r="C31" s="211" t="s">
        <v>44</v>
      </c>
      <c r="P31" s="228"/>
      <c r="Q31" s="228"/>
      <c r="R31" s="229"/>
      <c r="S31" s="229"/>
    </row>
    <row r="32" spans="1:19" x14ac:dyDescent="0.35">
      <c r="A32" s="227" t="str">
        <f t="shared" si="0"/>
        <v>2022W</v>
      </c>
      <c r="B32" s="211">
        <v>2022</v>
      </c>
      <c r="C32" s="211" t="s">
        <v>45</v>
      </c>
      <c r="P32" s="228"/>
      <c r="Q32" s="228"/>
      <c r="R32" s="229"/>
      <c r="S32" s="229"/>
    </row>
    <row r="33" spans="1:19" x14ac:dyDescent="0.35">
      <c r="A33" s="227" t="str">
        <f t="shared" si="0"/>
        <v>2023S</v>
      </c>
      <c r="B33" s="211">
        <v>2023</v>
      </c>
      <c r="C33" s="211" t="s">
        <v>44</v>
      </c>
      <c r="P33" s="228"/>
      <c r="Q33" s="228"/>
      <c r="R33" s="229"/>
      <c r="S33" s="229"/>
    </row>
    <row r="34" spans="1:19" x14ac:dyDescent="0.35">
      <c r="A34" s="227" t="str">
        <f t="shared" si="0"/>
        <v>2023W</v>
      </c>
      <c r="B34" s="211">
        <v>2023</v>
      </c>
      <c r="C34" s="211" t="s">
        <v>45</v>
      </c>
      <c r="P34" s="228"/>
      <c r="Q34" s="228"/>
      <c r="R34" s="229"/>
      <c r="S34" s="229"/>
    </row>
    <row r="35" spans="1:19" x14ac:dyDescent="0.35">
      <c r="A35" s="227" t="str">
        <f t="shared" si="0"/>
        <v>2024S</v>
      </c>
      <c r="B35" s="211">
        <v>2024</v>
      </c>
      <c r="C35" s="211" t="s">
        <v>44</v>
      </c>
      <c r="P35" s="228"/>
      <c r="Q35" s="228"/>
      <c r="R35" s="229"/>
      <c r="S35" s="229"/>
    </row>
    <row r="36" spans="1:19" x14ac:dyDescent="0.35">
      <c r="A36" s="227" t="str">
        <f t="shared" si="0"/>
        <v>2024W</v>
      </c>
      <c r="B36" s="211">
        <v>2024</v>
      </c>
      <c r="C36" s="211" t="s">
        <v>45</v>
      </c>
      <c r="P36" s="228"/>
      <c r="Q36" s="228"/>
      <c r="R36" s="229"/>
      <c r="S36" s="229"/>
    </row>
    <row r="37" spans="1:19" x14ac:dyDescent="0.35">
      <c r="A37" s="227" t="str">
        <f t="shared" si="0"/>
        <v>2025S</v>
      </c>
      <c r="B37" s="211">
        <v>2025</v>
      </c>
      <c r="C37" s="211" t="s">
        <v>44</v>
      </c>
      <c r="P37" s="228"/>
      <c r="Q37" s="228"/>
      <c r="R37" s="229"/>
      <c r="S37" s="229"/>
    </row>
    <row r="38" spans="1:19" x14ac:dyDescent="0.35">
      <c r="P38" s="228"/>
      <c r="Q38" s="228"/>
      <c r="R38" s="229"/>
      <c r="S38" s="229"/>
    </row>
    <row r="39" spans="1:19" x14ac:dyDescent="0.35">
      <c r="A39" s="227" t="s">
        <v>51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9" x14ac:dyDescent="0.35">
      <c r="A40" s="211" t="s">
        <v>52</v>
      </c>
    </row>
    <row r="41" spans="1:19" x14ac:dyDescent="0.35">
      <c r="A41" s="211" t="s">
        <v>50</v>
      </c>
    </row>
    <row r="43" spans="1:19" x14ac:dyDescent="0.35">
      <c r="E43" s="231" t="s">
        <v>53</v>
      </c>
      <c r="F43" s="231" t="s">
        <v>54</v>
      </c>
      <c r="G43" s="231" t="s">
        <v>55</v>
      </c>
      <c r="H43" s="231" t="s">
        <v>56</v>
      </c>
      <c r="I43" s="231" t="s">
        <v>57</v>
      </c>
      <c r="J43" s="232" t="s">
        <v>59</v>
      </c>
      <c r="K43" s="232"/>
      <c r="L43" s="232"/>
      <c r="M43" s="233" t="s">
        <v>62</v>
      </c>
      <c r="N43" s="233" t="s">
        <v>63</v>
      </c>
    </row>
    <row r="44" spans="1:19" x14ac:dyDescent="0.35">
      <c r="E44" s="231" t="str">
        <f>'Ihr Studienplan'!I10</f>
        <v>Biomoleküle:</v>
      </c>
      <c r="F44" s="231" t="str">
        <f>'Ihr Studienplan'!I15</f>
        <v>Zellen:</v>
      </c>
      <c r="G44" s="231" t="str">
        <f>'Ihr Studienplan'!I20</f>
        <v>Organsimen:</v>
      </c>
      <c r="H44" s="231" t="str">
        <f>'Ihr Studienplan'!I25</f>
        <v>Medizin:</v>
      </c>
      <c r="I44" s="231" t="str">
        <f>'Ihr Studienplan'!I30</f>
        <v>Technik:</v>
      </c>
      <c r="J44" s="232"/>
      <c r="K44" s="232"/>
      <c r="L44" s="232"/>
    </row>
    <row r="45" spans="1:19" x14ac:dyDescent="0.35">
      <c r="A45" s="211" t="s">
        <v>61</v>
      </c>
      <c r="D45" s="211" t="s">
        <v>58</v>
      </c>
      <c r="E45" s="231">
        <f>COUNTA('Ihr Studienplan'!$J11:$J14)</f>
        <v>0</v>
      </c>
      <c r="F45" s="231">
        <f>COUNTA('Ihr Studienplan'!$J16:$J19)</f>
        <v>0</v>
      </c>
      <c r="G45" s="231">
        <f>COUNTA('Ihr Studienplan'!$J21:$J24)</f>
        <v>2</v>
      </c>
      <c r="H45" s="231">
        <f>COUNTA('Ihr Studienplan'!$J26:$J29)</f>
        <v>0</v>
      </c>
      <c r="I45" s="231">
        <f>COUNTA('Ihr Studienplan'!$J31:$J34)</f>
        <v>1</v>
      </c>
      <c r="J45" s="232">
        <f>COUNTIF(E45:I45,"&gt;0")</f>
        <v>2</v>
      </c>
      <c r="K45" s="232"/>
      <c r="L45" s="232"/>
      <c r="M45" s="211">
        <v>2</v>
      </c>
      <c r="N45" s="211">
        <v>3</v>
      </c>
    </row>
    <row r="46" spans="1:19" x14ac:dyDescent="0.35">
      <c r="A46" s="211" t="s">
        <v>65</v>
      </c>
      <c r="D46" s="211" t="s">
        <v>130</v>
      </c>
      <c r="E46" s="231">
        <f>COUNTA('Ihr Studienplan'!$P11:$P14)</f>
        <v>0</v>
      </c>
      <c r="F46" s="231">
        <f>COUNTA('Ihr Studienplan'!$P16:$P19)</f>
        <v>0</v>
      </c>
      <c r="G46" s="231">
        <f>COUNTA('Ihr Studienplan'!$P21:$P24)</f>
        <v>1</v>
      </c>
      <c r="H46" s="231">
        <f>COUNTA('Ihr Studienplan'!$P26:$P29)</f>
        <v>1</v>
      </c>
      <c r="I46" s="231">
        <f>COUNTA('Ihr Studienplan'!$P31:$P34)</f>
        <v>1</v>
      </c>
      <c r="J46" s="232">
        <f>COUNTIF(E46:I46,"&gt;0")</f>
        <v>3</v>
      </c>
      <c r="K46" s="232"/>
      <c r="L46" s="232"/>
      <c r="M46" s="211">
        <v>2</v>
      </c>
      <c r="N46" s="211">
        <v>3</v>
      </c>
    </row>
    <row r="47" spans="1:19" x14ac:dyDescent="0.35">
      <c r="A47" s="211" t="s">
        <v>60</v>
      </c>
      <c r="D47" s="211" t="s">
        <v>129</v>
      </c>
      <c r="E47" s="234">
        <f>SUM('Ihr Studienplan'!L11:L14)+SUM('Ihr Studienplan'!R11:R14)</f>
        <v>0</v>
      </c>
      <c r="F47" s="234">
        <f>SUM('Ihr Studienplan'!L16:L19)+SUM('Ihr Studienplan'!R16:R19)</f>
        <v>0</v>
      </c>
      <c r="G47" s="234">
        <f>SUM('Ihr Studienplan'!L21:L24)+SUM('Ihr Studienplan'!R21:R24)</f>
        <v>20</v>
      </c>
      <c r="H47" s="234">
        <f>SUM('Ihr Studienplan'!L26:L29)+SUM('Ihr Studienplan'!R26:R29)</f>
        <v>5</v>
      </c>
      <c r="I47" s="234">
        <f>SUM('Ihr Studienplan'!L31:L34)+SUM('Ihr Studienplan'!R31:R34)</f>
        <v>15</v>
      </c>
    </row>
    <row r="48" spans="1:19" x14ac:dyDescent="0.35">
      <c r="A48" s="211" t="s">
        <v>64</v>
      </c>
    </row>
    <row r="51" spans="1:25" x14ac:dyDescent="0.35">
      <c r="G51" s="234"/>
    </row>
    <row r="52" spans="1:25" x14ac:dyDescent="0.35">
      <c r="A52" s="211" t="s">
        <v>73</v>
      </c>
      <c r="G52" s="234"/>
    </row>
    <row r="53" spans="1:25" x14ac:dyDescent="0.35">
      <c r="A53" s="235" t="str">
        <f>B53&amp;C53</f>
        <v>18W</v>
      </c>
      <c r="B53" s="211">
        <v>18</v>
      </c>
      <c r="C53" s="211" t="s">
        <v>45</v>
      </c>
      <c r="G53" s="234"/>
    </row>
    <row r="54" spans="1:25" x14ac:dyDescent="0.35">
      <c r="A54" s="235" t="str">
        <f t="shared" ref="A54:A71" si="1">B54&amp;C54</f>
        <v>19S</v>
      </c>
      <c r="B54" s="211">
        <v>19</v>
      </c>
      <c r="C54" s="211" t="s">
        <v>44</v>
      </c>
      <c r="G54" s="234"/>
    </row>
    <row r="55" spans="1:25" x14ac:dyDescent="0.35">
      <c r="A55" s="235" t="str">
        <f t="shared" si="1"/>
        <v>19W</v>
      </c>
      <c r="B55" s="211">
        <v>19</v>
      </c>
      <c r="C55" s="211" t="s">
        <v>45</v>
      </c>
    </row>
    <row r="56" spans="1:25" x14ac:dyDescent="0.35">
      <c r="A56" s="235" t="str">
        <f t="shared" si="1"/>
        <v>20S</v>
      </c>
      <c r="B56" s="211">
        <v>20</v>
      </c>
      <c r="C56" s="211" t="s">
        <v>44</v>
      </c>
      <c r="G56" s="234"/>
    </row>
    <row r="57" spans="1:25" x14ac:dyDescent="0.35">
      <c r="A57" s="235" t="str">
        <f t="shared" si="1"/>
        <v>20W</v>
      </c>
      <c r="B57" s="211">
        <v>20</v>
      </c>
      <c r="C57" s="211" t="s">
        <v>45</v>
      </c>
      <c r="G57" s="234"/>
    </row>
    <row r="58" spans="1:25" x14ac:dyDescent="0.35">
      <c r="A58" s="235" t="str">
        <f t="shared" si="1"/>
        <v>21S</v>
      </c>
      <c r="B58" s="211">
        <v>21</v>
      </c>
      <c r="C58" s="211" t="s">
        <v>44</v>
      </c>
      <c r="G58" s="234"/>
    </row>
    <row r="59" spans="1:25" x14ac:dyDescent="0.35">
      <c r="A59" s="235" t="str">
        <f t="shared" si="1"/>
        <v>21W</v>
      </c>
      <c r="B59" s="211">
        <v>21</v>
      </c>
      <c r="C59" s="211" t="s">
        <v>45</v>
      </c>
      <c r="G59" s="234"/>
      <c r="Y59" s="211" t="str">
        <f>IF(T$57&gt;HandsOff_Basisdata!E2,HandsOff_Basisdata!AA2,IF('Ihr Studienplan'!T$57&lt;=HandsOff_Basisdata!E2,"Keine Aussage möglich"))</f>
        <v>Keine Aussage möglich</v>
      </c>
    </row>
    <row r="60" spans="1:25" x14ac:dyDescent="0.35">
      <c r="A60" s="235" t="str">
        <f t="shared" si="1"/>
        <v>22S</v>
      </c>
      <c r="B60" s="211">
        <v>22</v>
      </c>
      <c r="C60" s="211" t="s">
        <v>44</v>
      </c>
    </row>
    <row r="61" spans="1:25" x14ac:dyDescent="0.35">
      <c r="A61" s="235" t="str">
        <f t="shared" si="1"/>
        <v>22W</v>
      </c>
      <c r="B61" s="211">
        <v>22</v>
      </c>
      <c r="C61" s="211" t="s">
        <v>45</v>
      </c>
      <c r="G61" s="234"/>
    </row>
    <row r="62" spans="1:25" x14ac:dyDescent="0.35">
      <c r="A62" s="235" t="str">
        <f t="shared" si="1"/>
        <v>23S</v>
      </c>
      <c r="B62" s="211">
        <v>23</v>
      </c>
      <c r="C62" s="211" t="s">
        <v>44</v>
      </c>
      <c r="G62" s="234"/>
    </row>
    <row r="63" spans="1:25" x14ac:dyDescent="0.35">
      <c r="A63" s="235" t="str">
        <f t="shared" si="1"/>
        <v>23W</v>
      </c>
      <c r="B63" s="211">
        <v>23</v>
      </c>
      <c r="C63" s="211" t="s">
        <v>45</v>
      </c>
      <c r="G63" s="234"/>
    </row>
    <row r="64" spans="1:25" x14ac:dyDescent="0.35">
      <c r="A64" s="235" t="str">
        <f t="shared" si="1"/>
        <v>24S</v>
      </c>
      <c r="B64" s="211">
        <v>24</v>
      </c>
      <c r="C64" s="211" t="s">
        <v>44</v>
      </c>
      <c r="G64" s="234"/>
    </row>
    <row r="65" spans="1:13" x14ac:dyDescent="0.35">
      <c r="A65" s="235" t="str">
        <f t="shared" si="1"/>
        <v>24W</v>
      </c>
      <c r="B65" s="211">
        <v>24</v>
      </c>
      <c r="C65" s="211" t="s">
        <v>45</v>
      </c>
    </row>
    <row r="66" spans="1:13" x14ac:dyDescent="0.35">
      <c r="A66" s="235" t="str">
        <f t="shared" si="1"/>
        <v>25S</v>
      </c>
      <c r="B66" s="211">
        <v>25</v>
      </c>
      <c r="C66" s="211" t="s">
        <v>44</v>
      </c>
      <c r="G66" s="234"/>
    </row>
    <row r="67" spans="1:13" x14ac:dyDescent="0.35">
      <c r="A67" s="235" t="str">
        <f t="shared" si="1"/>
        <v>25W</v>
      </c>
      <c r="B67" s="211">
        <v>25</v>
      </c>
      <c r="C67" s="211" t="s">
        <v>45</v>
      </c>
      <c r="G67" s="234"/>
    </row>
    <row r="68" spans="1:13" x14ac:dyDescent="0.35">
      <c r="A68" s="235" t="str">
        <f t="shared" si="1"/>
        <v>26S</v>
      </c>
      <c r="B68" s="211">
        <v>26</v>
      </c>
      <c r="C68" s="211" t="s">
        <v>44</v>
      </c>
      <c r="G68" s="234"/>
    </row>
    <row r="69" spans="1:13" x14ac:dyDescent="0.35">
      <c r="A69" s="235" t="str">
        <f t="shared" si="1"/>
        <v>26W</v>
      </c>
      <c r="B69" s="211">
        <v>26</v>
      </c>
      <c r="C69" s="211" t="s">
        <v>45</v>
      </c>
      <c r="G69" s="234"/>
    </row>
    <row r="70" spans="1:13" x14ac:dyDescent="0.35">
      <c r="A70" s="235" t="str">
        <f t="shared" si="1"/>
        <v>27S</v>
      </c>
      <c r="B70" s="211">
        <v>27</v>
      </c>
      <c r="C70" s="211" t="s">
        <v>44</v>
      </c>
    </row>
    <row r="71" spans="1:13" x14ac:dyDescent="0.35">
      <c r="A71" s="235" t="str">
        <f t="shared" si="1"/>
        <v/>
      </c>
    </row>
    <row r="74" spans="1:13" x14ac:dyDescent="0.35">
      <c r="A74" s="211" t="s">
        <v>87</v>
      </c>
    </row>
    <row r="75" spans="1:13" x14ac:dyDescent="0.35">
      <c r="A75" s="236" t="str">
        <f>I75&amp;" ("&amp;J75&amp;")"&amp;" / "&amp;M75 &amp; " CP, " &amp; "[" &amp; H75 &amp;"] " &amp;G75</f>
        <v>Proteomics: Analytische Grundlagen und Biomedizinische Anwendungen (Küster) / 5 CP, [WZ2439] BM</v>
      </c>
      <c r="B75" s="237"/>
      <c r="C75" s="237"/>
      <c r="D75" s="237"/>
      <c r="E75" s="237"/>
      <c r="F75" s="237"/>
      <c r="G75" s="237" t="s">
        <v>82</v>
      </c>
      <c r="H75" s="237" t="s">
        <v>88</v>
      </c>
      <c r="I75" s="211" t="s">
        <v>99</v>
      </c>
      <c r="J75" s="237" t="s">
        <v>77</v>
      </c>
      <c r="K75" s="237"/>
      <c r="L75" s="237"/>
      <c r="M75" s="211">
        <v>5</v>
      </c>
    </row>
    <row r="76" spans="1:13" x14ac:dyDescent="0.35">
      <c r="A76" s="236" t="str">
        <f>I76&amp;" ("&amp;J76&amp;")"&amp;" / "&amp;M76 &amp; " CP, " &amp; "[" &amp; H76 &amp;"] " &amp;G76</f>
        <v>Protein-Engineering (Skerra) / 5 CP, [WZ2580] BM</v>
      </c>
      <c r="B76" s="237"/>
      <c r="C76" s="237"/>
      <c r="D76" s="237"/>
      <c r="E76" s="237"/>
      <c r="F76" s="237"/>
      <c r="G76" s="237" t="s">
        <v>82</v>
      </c>
      <c r="H76" s="237" t="s">
        <v>89</v>
      </c>
      <c r="I76" s="211" t="s">
        <v>100</v>
      </c>
      <c r="J76" s="237" t="s">
        <v>74</v>
      </c>
      <c r="K76" s="237"/>
      <c r="L76" s="237"/>
      <c r="M76" s="211">
        <v>5</v>
      </c>
    </row>
    <row r="77" spans="1:13" x14ac:dyDescent="0.35">
      <c r="A77" s="236" t="str">
        <f t="shared" ref="A77:A83" si="2">I77&amp;" ("&amp;J77&amp;")"&amp;" / "&amp;M77 &amp; " CP, " &amp; "[" &amp; H77 &amp;"] " &amp;G77</f>
        <v>Angewandte Mikrobiologie (Liebl) / 5 CP, [WZ2626] ZE</v>
      </c>
      <c r="B77" s="237"/>
      <c r="C77" s="237"/>
      <c r="D77" s="237"/>
      <c r="E77" s="237"/>
      <c r="F77" s="237"/>
      <c r="G77" s="237" t="s">
        <v>83</v>
      </c>
      <c r="H77" s="237" t="s">
        <v>90</v>
      </c>
      <c r="I77" s="211" t="s">
        <v>72</v>
      </c>
      <c r="J77" s="237" t="s">
        <v>75</v>
      </c>
      <c r="K77" s="237"/>
      <c r="L77" s="237"/>
      <c r="M77" s="211">
        <v>5</v>
      </c>
    </row>
    <row r="78" spans="1:13" x14ac:dyDescent="0.35">
      <c r="A78" s="236" t="str">
        <f t="shared" si="2"/>
        <v>Mikroorganismen als Krankheitserreger (Hall / Durner) / 5 CP, [WZ2372] ZE</v>
      </c>
      <c r="B78" s="237"/>
      <c r="C78" s="237"/>
      <c r="D78" s="237"/>
      <c r="E78" s="237"/>
      <c r="F78" s="237"/>
      <c r="G78" s="237" t="s">
        <v>83</v>
      </c>
      <c r="H78" s="237" t="s">
        <v>91</v>
      </c>
      <c r="I78" s="211" t="s">
        <v>101</v>
      </c>
      <c r="J78" s="237" t="s">
        <v>251</v>
      </c>
      <c r="K78" s="237"/>
      <c r="L78" s="237"/>
      <c r="M78" s="211">
        <v>5</v>
      </c>
    </row>
    <row r="79" spans="1:13" x14ac:dyDescent="0.35">
      <c r="A79" s="236" t="str">
        <f t="shared" si="2"/>
        <v>In vitro-Modelle der Zellbiologie (Kramer) / 5 CP, [WZ2582] ZE</v>
      </c>
      <c r="B79" s="237"/>
      <c r="C79" s="237"/>
      <c r="D79" s="237"/>
      <c r="E79" s="237"/>
      <c r="F79" s="237"/>
      <c r="G79" s="237" t="s">
        <v>83</v>
      </c>
      <c r="H79" s="237" t="s">
        <v>92</v>
      </c>
      <c r="I79" s="211" t="s">
        <v>102</v>
      </c>
      <c r="J79" s="237" t="s">
        <v>78</v>
      </c>
      <c r="K79" s="237"/>
      <c r="L79" s="237"/>
      <c r="M79" s="211">
        <v>5</v>
      </c>
    </row>
    <row r="80" spans="1:13" x14ac:dyDescent="0.35">
      <c r="A80" s="236" t="str">
        <f t="shared" si="2"/>
        <v>Pflanzenbiotechnologie (Poppenberger-Sieberer) / 5 CP, [WZ2581] OR</v>
      </c>
      <c r="B80" s="237"/>
      <c r="C80" s="237"/>
      <c r="D80" s="237"/>
      <c r="E80" s="237"/>
      <c r="F80" s="237"/>
      <c r="G80" s="237" t="s">
        <v>84</v>
      </c>
      <c r="H80" s="237" t="s">
        <v>93</v>
      </c>
      <c r="I80" s="211" t="s">
        <v>103</v>
      </c>
      <c r="J80" s="237" t="s">
        <v>79</v>
      </c>
      <c r="K80" s="237"/>
      <c r="L80" s="237"/>
      <c r="M80" s="211">
        <v>5</v>
      </c>
    </row>
    <row r="81" spans="1:15" x14ac:dyDescent="0.35">
      <c r="A81" s="236" t="str">
        <f t="shared" si="2"/>
        <v>Biotechnologie der Tiere 1+2 (Flisikowska) / 5 CP, [WZ2589] OR</v>
      </c>
      <c r="B81" s="237"/>
      <c r="C81" s="237"/>
      <c r="D81" s="237"/>
      <c r="E81" s="237"/>
      <c r="F81" s="237"/>
      <c r="G81" s="237" t="s">
        <v>84</v>
      </c>
      <c r="H81" s="237" t="s">
        <v>94</v>
      </c>
      <c r="I81" s="211" t="s">
        <v>104</v>
      </c>
      <c r="J81" s="237" t="s">
        <v>252</v>
      </c>
      <c r="K81" s="237"/>
      <c r="L81" s="237"/>
      <c r="M81" s="211">
        <v>5</v>
      </c>
    </row>
    <row r="82" spans="1:15" x14ac:dyDescent="0.35">
      <c r="A82" s="236" t="str">
        <f t="shared" si="2"/>
        <v>Molekulare Onkologie (Krüger) / 5 CP, [WZ2648] ME</v>
      </c>
      <c r="B82" s="237"/>
      <c r="C82" s="237"/>
      <c r="D82" s="237"/>
      <c r="E82" s="237"/>
      <c r="F82" s="237"/>
      <c r="G82" s="237" t="s">
        <v>85</v>
      </c>
      <c r="H82" s="237" t="s">
        <v>95</v>
      </c>
      <c r="I82" s="211" t="s">
        <v>105</v>
      </c>
      <c r="J82" s="237" t="s">
        <v>76</v>
      </c>
      <c r="K82" s="237"/>
      <c r="L82" s="237"/>
      <c r="M82" s="211">
        <v>5</v>
      </c>
    </row>
    <row r="83" spans="1:15" x14ac:dyDescent="0.35">
      <c r="A83" s="236" t="str">
        <f t="shared" si="2"/>
        <v>Nutrition and Microbe-Host Interactions (Haller) / 5 CP, [WZ3207] ME</v>
      </c>
      <c r="B83" s="237"/>
      <c r="C83" s="237"/>
      <c r="D83" s="237"/>
      <c r="E83" s="237"/>
      <c r="F83" s="237"/>
      <c r="G83" s="237" t="s">
        <v>85</v>
      </c>
      <c r="H83" s="237" t="s">
        <v>96</v>
      </c>
      <c r="I83" s="211" t="s">
        <v>106</v>
      </c>
      <c r="J83" s="237" t="s">
        <v>80</v>
      </c>
      <c r="K83" s="237"/>
      <c r="L83" s="237"/>
      <c r="M83" s="211">
        <v>5</v>
      </c>
    </row>
    <row r="84" spans="1:15" x14ac:dyDescent="0.35">
      <c r="A84" s="236" t="str">
        <f t="shared" ref="A84:A86" si="3">I84&amp;" ("&amp;J84&amp;")"&amp;" / "&amp;M84 &amp; " CP, " &amp; "[" &amp; H84 &amp;"] " &amp;G84</f>
        <v>Biopharmazeutische Technologie (nicht mehr anfangen ab inkl. 22W) (Kulozik ) / 5 CP, [WZ2584] TE</v>
      </c>
      <c r="B84" s="237"/>
      <c r="C84" s="237"/>
      <c r="D84" s="237"/>
      <c r="E84" s="237"/>
      <c r="F84" s="237"/>
      <c r="G84" s="237" t="s">
        <v>86</v>
      </c>
      <c r="H84" s="237" t="s">
        <v>98</v>
      </c>
      <c r="I84" s="211" t="s">
        <v>246</v>
      </c>
      <c r="J84" s="238" t="s">
        <v>81</v>
      </c>
      <c r="K84" s="238"/>
      <c r="L84" s="238"/>
      <c r="M84" s="211">
        <v>5</v>
      </c>
    </row>
    <row r="85" spans="1:15" x14ac:dyDescent="0.35">
      <c r="A85" s="236" t="str">
        <f t="shared" si="3"/>
        <v>Biopharmazeutische Verfahrenstechnik (ab 2022W) (Sönnichsen et al.) / 5 CP, [LS20040] TE</v>
      </c>
      <c r="B85" s="237"/>
      <c r="C85" s="237"/>
      <c r="D85" s="237"/>
      <c r="E85" s="237"/>
      <c r="F85" s="237"/>
      <c r="G85" s="237" t="s">
        <v>86</v>
      </c>
      <c r="H85" s="237" t="s">
        <v>243</v>
      </c>
      <c r="I85" s="211" t="s">
        <v>245</v>
      </c>
      <c r="J85" s="238" t="s">
        <v>244</v>
      </c>
      <c r="K85" s="238"/>
      <c r="L85" s="238"/>
      <c r="M85" s="211">
        <v>5</v>
      </c>
    </row>
    <row r="86" spans="1:15" x14ac:dyDescent="0.35">
      <c r="A86" s="236" t="str">
        <f t="shared" si="3"/>
        <v>Bioinformatik / Genomik (Wieder ab inkl. 2022W) (Frischmann / Di Pizio)) / 5 CP, [WZ2583] TE</v>
      </c>
      <c r="B86" s="237"/>
      <c r="C86" s="237"/>
      <c r="D86" s="237"/>
      <c r="E86" s="237"/>
      <c r="F86" s="237"/>
      <c r="G86" s="237" t="s">
        <v>86</v>
      </c>
      <c r="H86" s="237" t="s">
        <v>97</v>
      </c>
      <c r="I86" s="239" t="s">
        <v>242</v>
      </c>
      <c r="J86" s="237" t="s">
        <v>247</v>
      </c>
      <c r="K86" s="237"/>
      <c r="L86" s="237"/>
      <c r="M86" s="211">
        <v>5</v>
      </c>
    </row>
    <row r="87" spans="1:15" x14ac:dyDescent="0.35">
      <c r="A87" s="236"/>
      <c r="B87" s="237"/>
      <c r="C87" s="237"/>
      <c r="D87" s="237"/>
      <c r="E87" s="237"/>
      <c r="F87" s="237"/>
      <c r="G87" s="237"/>
      <c r="H87" s="237"/>
      <c r="I87" s="239"/>
      <c r="J87" s="237"/>
      <c r="K87" s="237"/>
      <c r="L87" s="237"/>
      <c r="M87" s="211">
        <v>5</v>
      </c>
    </row>
    <row r="88" spans="1:15" x14ac:dyDescent="0.35">
      <c r="B88" s="237"/>
      <c r="C88" s="237"/>
      <c r="D88" s="237"/>
      <c r="E88" s="237"/>
      <c r="F88" s="237"/>
      <c r="G88" s="237" t="s">
        <v>86</v>
      </c>
      <c r="H88" s="237" t="s">
        <v>181</v>
      </c>
      <c r="I88" s="211" t="s">
        <v>184</v>
      </c>
      <c r="J88" s="237" t="s">
        <v>152</v>
      </c>
      <c r="K88" s="237"/>
      <c r="L88" s="237"/>
      <c r="M88" s="211">
        <v>5</v>
      </c>
      <c r="O88" s="236" t="str">
        <f>I88&amp;" ("&amp;J88&amp;")"&amp;" / "&amp;M88 &amp; " CP, " &amp; "[" &amp; H88 &amp;"] " &amp;G88</f>
        <v>Bioinformatik/Proteinstrukturen  (NEU ab 2021W) (NN) / 5 CP, [WZ1337] TE</v>
      </c>
    </row>
    <row r="89" spans="1:15" x14ac:dyDescent="0.35">
      <c r="B89" s="237"/>
      <c r="C89" s="237"/>
      <c r="D89" s="237"/>
      <c r="E89" s="237"/>
      <c r="F89" s="237"/>
      <c r="G89" s="237" t="s">
        <v>86</v>
      </c>
      <c r="H89" s="237" t="s">
        <v>182</v>
      </c>
      <c r="I89" s="211" t="s">
        <v>183</v>
      </c>
      <c r="J89" s="237" t="s">
        <v>152</v>
      </c>
      <c r="K89" s="237"/>
      <c r="L89" s="237"/>
      <c r="M89" s="211">
        <v>5</v>
      </c>
      <c r="O89" s="236" t="str">
        <f>I89&amp;" ("&amp;J89&amp;")"&amp;" / "&amp;M89 &amp; " CP, " &amp; "[" &amp; H89 &amp;"] " &amp;G89</f>
        <v>Bioinformatik/Molekulare Simulationsmethoden (NEU ab 2021W) (NN) / 5 CP, [WZ1336] TE</v>
      </c>
    </row>
    <row r="97" spans="1:8" x14ac:dyDescent="0.35">
      <c r="B97" s="240" t="s">
        <v>111</v>
      </c>
      <c r="C97" s="240" t="s">
        <v>110</v>
      </c>
      <c r="F97" s="211" t="s">
        <v>117</v>
      </c>
      <c r="G97" s="211" t="s">
        <v>118</v>
      </c>
    </row>
    <row r="98" spans="1:8" x14ac:dyDescent="0.35">
      <c r="B98" s="241">
        <f>COUNTIF(B99:B103,"&gt;0")</f>
        <v>2</v>
      </c>
      <c r="C98" s="241">
        <f>COUNTIF(C99:C103,"&gt;0")</f>
        <v>3</v>
      </c>
      <c r="D98" s="242">
        <f>SUM(D99:D103)</f>
        <v>3</v>
      </c>
      <c r="F98" s="211">
        <v>2</v>
      </c>
      <c r="G98" s="211">
        <v>3</v>
      </c>
    </row>
    <row r="99" spans="1:8" x14ac:dyDescent="0.35">
      <c r="A99" s="223" t="s">
        <v>82</v>
      </c>
      <c r="B99" s="243">
        <f>COUNTA('Ihr Studienplan'!J11:J14)</f>
        <v>0</v>
      </c>
      <c r="C99" s="243">
        <f>COUNTA('Ihr Studienplan'!P11:P14)</f>
        <v>0</v>
      </c>
      <c r="D99" s="244">
        <f>IF(OR(B99&gt;0,C99&gt;0),1,0)</f>
        <v>0</v>
      </c>
      <c r="E99" s="211" t="s">
        <v>112</v>
      </c>
      <c r="H99" s="224" t="s">
        <v>125</v>
      </c>
    </row>
    <row r="100" spans="1:8" x14ac:dyDescent="0.35">
      <c r="A100" s="223" t="s">
        <v>83</v>
      </c>
      <c r="B100" s="243">
        <f>COUNTA('Ihr Studienplan'!J16:J19)</f>
        <v>0</v>
      </c>
      <c r="C100" s="243">
        <f>COUNTA('Ihr Studienplan'!P16:P19)</f>
        <v>0</v>
      </c>
      <c r="D100" s="244">
        <f t="shared" ref="D100:D103" si="4">IF(OR(B100&gt;0,C100&gt;0),1,0)</f>
        <v>0</v>
      </c>
      <c r="E100" s="211" t="s">
        <v>113</v>
      </c>
      <c r="H100" s="224" t="s">
        <v>195</v>
      </c>
    </row>
    <row r="101" spans="1:8" x14ac:dyDescent="0.35">
      <c r="A101" s="223" t="s">
        <v>84</v>
      </c>
      <c r="B101" s="243">
        <f>COUNTA('Ihr Studienplan'!J21:J24)</f>
        <v>2</v>
      </c>
      <c r="C101" s="243">
        <f>COUNTA('Ihr Studienplan'!P21:P24)</f>
        <v>1</v>
      </c>
      <c r="D101" s="244">
        <f t="shared" si="4"/>
        <v>1</v>
      </c>
      <c r="E101" s="211" t="s">
        <v>114</v>
      </c>
      <c r="H101" s="224" t="s">
        <v>175</v>
      </c>
    </row>
    <row r="102" spans="1:8" x14ac:dyDescent="0.35">
      <c r="A102" s="223" t="s">
        <v>85</v>
      </c>
      <c r="B102" s="243">
        <f>COUNTA('Ihr Studienplan'!J26:J29)</f>
        <v>0</v>
      </c>
      <c r="C102" s="243">
        <f>COUNTA('Ihr Studienplan'!P26:P29)</f>
        <v>1</v>
      </c>
      <c r="D102" s="244">
        <f t="shared" si="4"/>
        <v>1</v>
      </c>
      <c r="E102" s="211" t="s">
        <v>115</v>
      </c>
      <c r="H102" s="224" t="s">
        <v>176</v>
      </c>
    </row>
    <row r="103" spans="1:8" x14ac:dyDescent="0.35">
      <c r="A103" s="223" t="s">
        <v>86</v>
      </c>
      <c r="B103" s="243">
        <f>COUNTA('Ihr Studienplan'!J31:J34)</f>
        <v>1</v>
      </c>
      <c r="C103" s="243">
        <f>COUNTA('Ihr Studienplan'!P31:P34)</f>
        <v>1</v>
      </c>
      <c r="D103" s="244">
        <f t="shared" si="4"/>
        <v>1</v>
      </c>
      <c r="E103" s="211" t="s">
        <v>116</v>
      </c>
      <c r="H103" s="224" t="s">
        <v>120</v>
      </c>
    </row>
    <row r="104" spans="1:8" ht="55.75" customHeight="1" x14ac:dyDescent="0.35">
      <c r="A104" s="245" t="s">
        <v>126</v>
      </c>
      <c r="B104" s="230" t="str">
        <f>IF(AND(D98&gt;=F98,D98&lt;=G98),H100,
IF(D98&lt;F98, H101,
IF(D98&gt;G98,H102,IF(D98=0,H103,""))))</f>
        <v>Anzahl VTs FPSO-konform</v>
      </c>
      <c r="C104" s="246" t="str">
        <f>IF(AND(D98&gt;=F98,D98&lt;=G98),H100,
IF(AND(D98&lt;F98,D98&gt;0), H101,
IF(D98&gt;G98,H102,IF(D98=0,H103,""))))</f>
        <v>Anzahl VTs FPSO-konform</v>
      </c>
    </row>
    <row r="105" spans="1:8" x14ac:dyDescent="0.35">
      <c r="B105" s="245"/>
      <c r="C105" s="245"/>
    </row>
    <row r="106" spans="1:8" x14ac:dyDescent="0.35">
      <c r="B106" s="247"/>
      <c r="C106" s="247"/>
    </row>
    <row r="107" spans="1:8" x14ac:dyDescent="0.35">
      <c r="B107" s="245"/>
      <c r="C107" s="245"/>
    </row>
    <row r="109" spans="1:8" x14ac:dyDescent="0.35">
      <c r="B109" s="245"/>
      <c r="C109" s="245"/>
    </row>
    <row r="110" spans="1:8" x14ac:dyDescent="0.35">
      <c r="B110" s="247"/>
      <c r="C110" s="247"/>
    </row>
    <row r="111" spans="1:8" x14ac:dyDescent="0.35">
      <c r="B111" s="245"/>
      <c r="C111" s="245"/>
    </row>
    <row r="113" spans="1:17" x14ac:dyDescent="0.35">
      <c r="B113" s="245"/>
      <c r="C113" s="245"/>
    </row>
    <row r="114" spans="1:17" x14ac:dyDescent="0.35">
      <c r="B114" s="247"/>
      <c r="C114" s="247"/>
    </row>
    <row r="115" spans="1:17" x14ac:dyDescent="0.35">
      <c r="B115" s="245"/>
      <c r="C115" s="245"/>
    </row>
    <row r="117" spans="1:17" x14ac:dyDescent="0.35">
      <c r="A117" s="248"/>
      <c r="B117" s="249" t="s">
        <v>188</v>
      </c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1:17" x14ac:dyDescent="0.35">
      <c r="A118" s="248"/>
      <c r="B118" s="245"/>
      <c r="C118" s="245" t="s">
        <v>121</v>
      </c>
      <c r="D118" s="245"/>
      <c r="E118" s="245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1:17" x14ac:dyDescent="0.35">
      <c r="A119" s="248"/>
      <c r="B119" s="248"/>
      <c r="C119" s="248" t="s">
        <v>122</v>
      </c>
      <c r="D119" s="248" t="s">
        <v>123</v>
      </c>
      <c r="E119" s="248" t="s">
        <v>124</v>
      </c>
      <c r="F119" s="248"/>
      <c r="G119" s="250" t="s">
        <v>125</v>
      </c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1:17" x14ac:dyDescent="0.35">
      <c r="A120" s="248"/>
      <c r="B120" s="245" t="str">
        <f>'Ihr Studienplan'!I10</f>
        <v>Biomoleküle:</v>
      </c>
      <c r="C120" s="245" t="str">
        <f>IF(COUNTA('Ihr Studienplan'!J11:J14)&gt;0,"1","0")</f>
        <v>0</v>
      </c>
      <c r="D120" s="245" t="str">
        <f>IF(COUNTA('Ihr Studienplan'!P11:P14)&gt;0,"1","0")</f>
        <v>0</v>
      </c>
      <c r="E120" s="245">
        <f>C120+D120</f>
        <v>0</v>
      </c>
      <c r="F120" s="248"/>
      <c r="G120" s="250" t="s">
        <v>127</v>
      </c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1:17" x14ac:dyDescent="0.35">
      <c r="A121" s="248"/>
      <c r="B121" s="245" t="str">
        <f>'Ihr Studienplan'!I15</f>
        <v>Zellen:</v>
      </c>
      <c r="C121" s="245" t="str">
        <f>IF(COUNTA('Ihr Studienplan'!J16:J19)&gt;0,"1","0")</f>
        <v>0</v>
      </c>
      <c r="D121" s="245" t="str">
        <f>IF(COUNTA('Ihr Studienplan'!P16:P19)&gt;0,"1","0")</f>
        <v>0</v>
      </c>
      <c r="E121" s="245">
        <f>C121+D121</f>
        <v>0</v>
      </c>
      <c r="F121" s="248"/>
      <c r="G121" s="250" t="s">
        <v>173</v>
      </c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1:17" x14ac:dyDescent="0.35">
      <c r="A122" s="248"/>
      <c r="B122" s="245" t="str">
        <f>'Ihr Studienplan'!I20</f>
        <v>Organsimen:</v>
      </c>
      <c r="C122" s="245" t="str">
        <f>IF(COUNTA('Ihr Studienplan'!J21:J24)&gt;0,"1","0")</f>
        <v>1</v>
      </c>
      <c r="D122" s="245" t="str">
        <f>IF(COUNTA('Ihr Studienplan'!P21:P24)&gt;0,"1","0")</f>
        <v>1</v>
      </c>
      <c r="E122" s="245">
        <f>C122+D122</f>
        <v>2</v>
      </c>
      <c r="F122" s="248"/>
      <c r="G122" s="250" t="s">
        <v>156</v>
      </c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1:17" x14ac:dyDescent="0.35">
      <c r="A123" s="248"/>
      <c r="B123" s="247" t="str">
        <f>'Ihr Studienplan'!I25</f>
        <v>Medizin:</v>
      </c>
      <c r="C123" s="245" t="str">
        <f>IF(COUNTA('Ihr Studienplan'!J26:J29)&gt;0,"1","0")</f>
        <v>0</v>
      </c>
      <c r="D123" s="245" t="str">
        <f>IF(COUNTA('Ihr Studienplan'!P26:P29)&gt;0,"1","0")</f>
        <v>1</v>
      </c>
      <c r="E123" s="245">
        <f>C123+D123</f>
        <v>1</v>
      </c>
      <c r="F123" s="248"/>
      <c r="G123" s="250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1:17" x14ac:dyDescent="0.35">
      <c r="A124" s="248"/>
      <c r="B124" s="245" t="str">
        <f>'Ihr Studienplan'!I30</f>
        <v>Technik:</v>
      </c>
      <c r="C124" s="245" t="str">
        <f>IF(COUNTA('Ihr Studienplan'!J31:J34)&gt;0,"1","0")</f>
        <v>1</v>
      </c>
      <c r="D124" s="245" t="str">
        <f>IF(COUNTA('Ihr Studienplan'!P31:P34)&gt;0,"1","0")</f>
        <v>1</v>
      </c>
      <c r="E124" s="245">
        <f>C124+D124</f>
        <v>2</v>
      </c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1:17" x14ac:dyDescent="0.35">
      <c r="A125" s="248"/>
      <c r="B125" s="245"/>
      <c r="C125" s="245"/>
      <c r="D125" s="245" t="s">
        <v>126</v>
      </c>
      <c r="E125" s="245" t="str">
        <f>IF(
COUNTIF(E120:E124,"&gt;=1")&lt;=1,G122,
IF(COUNTIF(E120:E124,"&gt;=1")&gt;3,G120,
G121))</f>
        <v>T &amp; P -Module sind FPSO-konform auf die Vertiefungen verteilt</v>
      </c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1:17" x14ac:dyDescent="0.35">
      <c r="A126" s="248"/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1:17" x14ac:dyDescent="0.35">
      <c r="A127" s="248"/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1:17" x14ac:dyDescent="0.35">
      <c r="A128" s="248"/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1:29" x14ac:dyDescent="0.35">
      <c r="A129" s="248"/>
      <c r="B129" s="248" t="s">
        <v>142</v>
      </c>
      <c r="C129" s="248"/>
      <c r="D129" s="248"/>
      <c r="E129" s="248"/>
      <c r="F129" s="248"/>
      <c r="G129" s="248"/>
      <c r="H129" s="248" t="s">
        <v>143</v>
      </c>
      <c r="I129" s="251">
        <v>0.52</v>
      </c>
      <c r="J129" s="248"/>
      <c r="K129" s="248"/>
      <c r="L129" s="248"/>
      <c r="M129" s="248"/>
      <c r="N129" s="248"/>
      <c r="O129" s="248"/>
      <c r="P129" s="248"/>
      <c r="Q129" s="248"/>
    </row>
    <row r="130" spans="1:29" x14ac:dyDescent="0.35">
      <c r="A130" s="248"/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1:29" ht="116" x14ac:dyDescent="0.35">
      <c r="A131" s="252"/>
      <c r="B131" s="253" t="s">
        <v>53</v>
      </c>
      <c r="C131" s="253" t="s">
        <v>54</v>
      </c>
      <c r="D131" s="253" t="s">
        <v>55</v>
      </c>
      <c r="E131" s="253" t="s">
        <v>56</v>
      </c>
      <c r="F131" s="253" t="s">
        <v>57</v>
      </c>
      <c r="G131" s="254" t="s">
        <v>128</v>
      </c>
      <c r="H131" s="254" t="s">
        <v>131</v>
      </c>
      <c r="I131" s="254" t="s">
        <v>132</v>
      </c>
      <c r="J131" s="254" t="s">
        <v>133</v>
      </c>
      <c r="K131" s="254" t="s">
        <v>134</v>
      </c>
      <c r="L131" s="254" t="s">
        <v>135</v>
      </c>
      <c r="M131" s="254" t="s">
        <v>136</v>
      </c>
      <c r="N131" s="254" t="s">
        <v>137</v>
      </c>
      <c r="O131" s="254" t="s">
        <v>138</v>
      </c>
      <c r="P131" s="254" t="s">
        <v>139</v>
      </c>
      <c r="Q131" s="254" t="s">
        <v>140</v>
      </c>
      <c r="R131" s="325" t="s">
        <v>144</v>
      </c>
      <c r="S131" s="325" t="s">
        <v>254</v>
      </c>
      <c r="T131" s="255" t="s">
        <v>197</v>
      </c>
      <c r="Y131" s="256" t="str">
        <f>IF(S133=0,"null","Was sonst")</f>
        <v>Was sonst</v>
      </c>
    </row>
    <row r="132" spans="1:29" ht="21" x14ac:dyDescent="0.5">
      <c r="A132" s="252"/>
      <c r="B132" s="253"/>
      <c r="C132" s="253"/>
      <c r="D132" s="257"/>
      <c r="E132" s="257"/>
      <c r="F132" s="257"/>
      <c r="G132" s="254"/>
      <c r="H132" s="254"/>
      <c r="I132" s="254"/>
      <c r="J132" s="254"/>
      <c r="K132" s="254"/>
      <c r="L132" s="254"/>
      <c r="M132" s="258"/>
      <c r="N132" s="258"/>
      <c r="O132" s="258"/>
      <c r="P132" s="258"/>
      <c r="Q132" s="258"/>
      <c r="R132" s="258"/>
      <c r="S132" s="254"/>
      <c r="T132" s="327">
        <v>0.46</v>
      </c>
      <c r="U132" s="250" t="s">
        <v>125</v>
      </c>
    </row>
    <row r="133" spans="1:29" ht="18.5" x14ac:dyDescent="0.45">
      <c r="A133" s="259"/>
      <c r="B133" s="260">
        <f>E47</f>
        <v>0</v>
      </c>
      <c r="C133" s="260">
        <f>F47</f>
        <v>0</v>
      </c>
      <c r="D133" s="260">
        <f>G47</f>
        <v>20</v>
      </c>
      <c r="E133" s="260">
        <f>H47</f>
        <v>5</v>
      </c>
      <c r="F133" s="260">
        <f>I47</f>
        <v>15</v>
      </c>
      <c r="G133" s="261">
        <f>SUM(B133:F133)</f>
        <v>40</v>
      </c>
      <c r="H133" s="262">
        <f t="shared" ref="H133:J133" si="5">B133/$G133</f>
        <v>0</v>
      </c>
      <c r="I133" s="262">
        <f t="shared" si="5"/>
        <v>0</v>
      </c>
      <c r="J133" s="262">
        <f t="shared" si="5"/>
        <v>0.5</v>
      </c>
      <c r="K133" s="262">
        <f t="shared" ref="K133:L133" si="6">E133/$G133</f>
        <v>0.125</v>
      </c>
      <c r="L133" s="262">
        <f t="shared" si="6"/>
        <v>0.375</v>
      </c>
      <c r="M133" s="263" t="str">
        <f>IF(B133=0,"0",ABS(1/COUNTIF(B133:F133,"&gt;0")-H133))</f>
        <v>0</v>
      </c>
      <c r="N133" s="263" t="str">
        <f>IF(C133=0,"0",ABS(1/COUNTIF(B133:F133,"&gt;0")-I133))</f>
        <v>0</v>
      </c>
      <c r="O133" s="263">
        <f>IF(D133=0,"0",ABS(1/COUNTIF(B133:F133,"&gt;0")-J133))</f>
        <v>0.16666666666666669</v>
      </c>
      <c r="P133" s="263">
        <f>IF(E133=0,"0",ABS(1/COUNTIF(B133:F133,"&gt;0")-K133))</f>
        <v>0.20833333333333331</v>
      </c>
      <c r="Q133" s="263">
        <f>IF(F133=0,"0",ABS(1/COUNTIF(B133:F133,"&gt;0")-L133))</f>
        <v>4.1666666666666685E-2</v>
      </c>
      <c r="R133" s="328">
        <f>SUM(M133:Q133)</f>
        <v>0.41666666666666669</v>
      </c>
      <c r="S133" s="326">
        <f>ROUNDDOWN(SUM(M133:Q133),2)</f>
        <v>0.41</v>
      </c>
      <c r="T133" s="264" t="str">
        <f t="shared" ref="T133:T166" si="7">IF(S133&lt;=T$132,"&lt;=" &amp; T$132,"Wert zu hoch")</f>
        <v>&lt;=0,46</v>
      </c>
      <c r="U133" s="211" t="s">
        <v>159</v>
      </c>
    </row>
    <row r="134" spans="1:29" s="270" customFormat="1" ht="18.5" x14ac:dyDescent="0.45">
      <c r="A134" s="265" t="s">
        <v>160</v>
      </c>
      <c r="B134" s="266">
        <v>20</v>
      </c>
      <c r="C134" s="266">
        <v>12</v>
      </c>
      <c r="D134" s="266">
        <v>5</v>
      </c>
      <c r="E134" s="266">
        <v>0</v>
      </c>
      <c r="F134" s="266">
        <v>0</v>
      </c>
      <c r="G134" s="267">
        <f>SUM(B134:F134)</f>
        <v>37</v>
      </c>
      <c r="H134" s="268">
        <f t="shared" ref="H134:H166" si="8">B134/$G134</f>
        <v>0.54054054054054057</v>
      </c>
      <c r="I134" s="268">
        <f t="shared" ref="I134:I166" si="9">C134/$G134</f>
        <v>0.32432432432432434</v>
      </c>
      <c r="J134" s="268">
        <f t="shared" ref="J134:J166" si="10">D134/$G134</f>
        <v>0.13513513513513514</v>
      </c>
      <c r="K134" s="268">
        <f t="shared" ref="K134:K166" si="11">E134/$G134</f>
        <v>0</v>
      </c>
      <c r="L134" s="268">
        <f t="shared" ref="L134:L166" si="12">F134/$G134</f>
        <v>0</v>
      </c>
      <c r="M134" s="269">
        <f t="shared" ref="M134:M138" si="13">IF(B134=0,"0",ABS(1/COUNTIF(B134:F134,"&gt;0")-H134))</f>
        <v>0.20720720720720726</v>
      </c>
      <c r="N134" s="269">
        <f t="shared" ref="N134:N138" si="14">IF(C134=0,"0",ABS(1/COUNTIF(B134:F134,"&gt;0")-I134))</f>
        <v>9.0090090090089725E-3</v>
      </c>
      <c r="O134" s="269">
        <f t="shared" ref="O134:O138" si="15">IF(D134=0,"0",ABS(1/COUNTIF(B134:F134,"&gt;0")-J134))</f>
        <v>0.19819819819819817</v>
      </c>
      <c r="P134" s="269" t="str">
        <f t="shared" ref="P134:P138" si="16">IF(E134=0,"0",ABS(1/COUNTIF(B134:F134,"&gt;0")-K134))</f>
        <v>0</v>
      </c>
      <c r="Q134" s="269" t="str">
        <f t="shared" ref="Q134:Q138" si="17">IF(F134=0,"0",ABS(1/COUNTIF(B134:F134,"&gt;0")-L134))</f>
        <v>0</v>
      </c>
      <c r="R134" s="328">
        <f t="shared" ref="R134:R166" si="18">SUM(M134:Q134)</f>
        <v>0.4144144144144144</v>
      </c>
      <c r="S134" s="326">
        <f t="shared" ref="S134:S166" si="19">ROUNDDOWN(SUM(M134:Q134),2)</f>
        <v>0.41</v>
      </c>
      <c r="T134" s="264" t="str">
        <f t="shared" si="7"/>
        <v>&lt;=0,46</v>
      </c>
      <c r="U134" s="211" t="s">
        <v>158</v>
      </c>
      <c r="AC134" s="211"/>
    </row>
    <row r="135" spans="1:29" s="270" customFormat="1" ht="18.5" x14ac:dyDescent="0.45">
      <c r="A135" s="271"/>
      <c r="B135" s="266">
        <v>21</v>
      </c>
      <c r="C135" s="266">
        <v>11</v>
      </c>
      <c r="D135" s="266">
        <v>5</v>
      </c>
      <c r="E135" s="266">
        <v>0</v>
      </c>
      <c r="F135" s="266">
        <v>0</v>
      </c>
      <c r="G135" s="267">
        <f>SUM(B135:F135)</f>
        <v>37</v>
      </c>
      <c r="H135" s="268">
        <f t="shared" si="8"/>
        <v>0.56756756756756754</v>
      </c>
      <c r="I135" s="268">
        <f t="shared" si="9"/>
        <v>0.29729729729729731</v>
      </c>
      <c r="J135" s="268">
        <f t="shared" si="10"/>
        <v>0.13513513513513514</v>
      </c>
      <c r="K135" s="268">
        <f t="shared" si="11"/>
        <v>0</v>
      </c>
      <c r="L135" s="268">
        <f t="shared" si="12"/>
        <v>0</v>
      </c>
      <c r="M135" s="269">
        <f t="shared" ref="M135" si="20">IF(B135=0,"0",ABS(1/COUNTIF(B135:F135,"&gt;0")-H135))</f>
        <v>0.23423423423423423</v>
      </c>
      <c r="N135" s="269">
        <f t="shared" ref="N135" si="21">IF(C135=0,"0",ABS(1/COUNTIF(B135:F135,"&gt;0")-I135))</f>
        <v>3.6036036036036001E-2</v>
      </c>
      <c r="O135" s="269">
        <f t="shared" ref="O135" si="22">IF(D135=0,"0",ABS(1/COUNTIF(B135:F135,"&gt;0")-J135))</f>
        <v>0.19819819819819817</v>
      </c>
      <c r="P135" s="269" t="str">
        <f t="shared" ref="P135" si="23">IF(E135=0,"0",ABS(1/COUNTIF(B135:F135,"&gt;0")-K135))</f>
        <v>0</v>
      </c>
      <c r="Q135" s="269" t="str">
        <f t="shared" ref="Q135" si="24">IF(F135=0,"0",ABS(1/COUNTIF(B135:F135,"&gt;0")-L135))</f>
        <v>0</v>
      </c>
      <c r="R135" s="328">
        <f t="shared" si="18"/>
        <v>0.4684684684684684</v>
      </c>
      <c r="S135" s="326">
        <f t="shared" si="19"/>
        <v>0.46</v>
      </c>
      <c r="T135" s="264" t="str">
        <f t="shared" si="7"/>
        <v>&lt;=0,46</v>
      </c>
      <c r="U135" s="211" t="s">
        <v>156</v>
      </c>
      <c r="AC135" s="211"/>
    </row>
    <row r="136" spans="1:29" s="270" customFormat="1" ht="18.5" x14ac:dyDescent="0.45">
      <c r="A136" s="272"/>
      <c r="B136" s="266">
        <v>16</v>
      </c>
      <c r="C136" s="266">
        <v>17</v>
      </c>
      <c r="D136" s="266">
        <v>4</v>
      </c>
      <c r="E136" s="266"/>
      <c r="F136" s="266"/>
      <c r="G136" s="267">
        <f t="shared" ref="G136" si="25">SUM(B136:F136)</f>
        <v>37</v>
      </c>
      <c r="H136" s="268">
        <f t="shared" si="8"/>
        <v>0.43243243243243246</v>
      </c>
      <c r="I136" s="268">
        <f t="shared" si="9"/>
        <v>0.45945945945945948</v>
      </c>
      <c r="J136" s="268">
        <f t="shared" si="10"/>
        <v>0.10810810810810811</v>
      </c>
      <c r="K136" s="268">
        <f t="shared" si="11"/>
        <v>0</v>
      </c>
      <c r="L136" s="268">
        <f t="shared" si="12"/>
        <v>0</v>
      </c>
      <c r="M136" s="269">
        <f t="shared" ref="M136" si="26">IF(B136=0,"0",ABS(1/COUNTIF(B136:F136,"&gt;0")-H136))</f>
        <v>9.9099099099099142E-2</v>
      </c>
      <c r="N136" s="269">
        <f t="shared" ref="N136" si="27">IF(C136=0,"0",ABS(1/COUNTIF(B136:F136,"&gt;0")-I136))</f>
        <v>0.12612612612612617</v>
      </c>
      <c r="O136" s="269">
        <f t="shared" ref="O136" si="28">IF(D136=0,"0",ABS(1/COUNTIF(B136:F136,"&gt;0")-J136))</f>
        <v>0.2252252252252252</v>
      </c>
      <c r="P136" s="269" t="str">
        <f t="shared" ref="P136" si="29">IF(E136=0,"0",ABS(1/COUNTIF(B136:F136,"&gt;0")-K136))</f>
        <v>0</v>
      </c>
      <c r="Q136" s="269" t="str">
        <f t="shared" ref="Q136" si="30">IF(F136=0,"0",ABS(1/COUNTIF(B136:F136,"&gt;0")-L136))</f>
        <v>0</v>
      </c>
      <c r="R136" s="328">
        <f t="shared" si="18"/>
        <v>0.45045045045045051</v>
      </c>
      <c r="S136" s="326">
        <f t="shared" si="19"/>
        <v>0.45</v>
      </c>
      <c r="T136" s="264" t="str">
        <f t="shared" si="7"/>
        <v>&lt;=0,46</v>
      </c>
      <c r="AC136" s="211"/>
    </row>
    <row r="137" spans="1:29" s="270" customFormat="1" ht="18.5" x14ac:dyDescent="0.45">
      <c r="A137" s="272"/>
      <c r="B137" s="266">
        <v>15</v>
      </c>
      <c r="C137" s="266">
        <v>17</v>
      </c>
      <c r="D137" s="266">
        <v>5</v>
      </c>
      <c r="E137" s="266"/>
      <c r="F137" s="266"/>
      <c r="G137" s="267">
        <f t="shared" ref="G137:G138" si="31">SUM(B137:F137)</f>
        <v>37</v>
      </c>
      <c r="H137" s="268">
        <f t="shared" si="8"/>
        <v>0.40540540540540543</v>
      </c>
      <c r="I137" s="268">
        <f t="shared" si="9"/>
        <v>0.45945945945945948</v>
      </c>
      <c r="J137" s="268">
        <f t="shared" si="10"/>
        <v>0.13513513513513514</v>
      </c>
      <c r="K137" s="268">
        <f t="shared" si="11"/>
        <v>0</v>
      </c>
      <c r="L137" s="268">
        <f t="shared" si="12"/>
        <v>0</v>
      </c>
      <c r="M137" s="269">
        <f t="shared" si="13"/>
        <v>7.2072072072072113E-2</v>
      </c>
      <c r="N137" s="269">
        <f t="shared" si="14"/>
        <v>0.12612612612612617</v>
      </c>
      <c r="O137" s="269">
        <f t="shared" si="15"/>
        <v>0.19819819819819817</v>
      </c>
      <c r="P137" s="269" t="str">
        <f t="shared" si="16"/>
        <v>0</v>
      </c>
      <c r="Q137" s="269" t="str">
        <f t="shared" si="17"/>
        <v>0</v>
      </c>
      <c r="R137" s="328">
        <f t="shared" si="18"/>
        <v>0.39639639639639646</v>
      </c>
      <c r="S137" s="326">
        <f t="shared" si="19"/>
        <v>0.39</v>
      </c>
      <c r="T137" s="264" t="str">
        <f t="shared" si="7"/>
        <v>&lt;=0,46</v>
      </c>
      <c r="AC137" s="211"/>
    </row>
    <row r="138" spans="1:29" s="270" customFormat="1" ht="18.5" x14ac:dyDescent="0.45">
      <c r="A138" s="272"/>
      <c r="B138" s="266">
        <v>22</v>
      </c>
      <c r="C138" s="266">
        <v>10</v>
      </c>
      <c r="D138" s="266">
        <v>5</v>
      </c>
      <c r="E138" s="266"/>
      <c r="F138" s="266"/>
      <c r="G138" s="267">
        <f t="shared" si="31"/>
        <v>37</v>
      </c>
      <c r="H138" s="268">
        <f t="shared" si="8"/>
        <v>0.59459459459459463</v>
      </c>
      <c r="I138" s="268">
        <f t="shared" si="9"/>
        <v>0.27027027027027029</v>
      </c>
      <c r="J138" s="268">
        <f t="shared" si="10"/>
        <v>0.13513513513513514</v>
      </c>
      <c r="K138" s="268">
        <f t="shared" si="11"/>
        <v>0</v>
      </c>
      <c r="L138" s="268">
        <f t="shared" si="12"/>
        <v>0</v>
      </c>
      <c r="M138" s="269">
        <f t="shared" si="13"/>
        <v>0.26126126126126131</v>
      </c>
      <c r="N138" s="269">
        <f t="shared" si="14"/>
        <v>6.306306306306303E-2</v>
      </c>
      <c r="O138" s="269">
        <f t="shared" si="15"/>
        <v>0.19819819819819817</v>
      </c>
      <c r="P138" s="269" t="str">
        <f t="shared" si="16"/>
        <v>0</v>
      </c>
      <c r="Q138" s="269" t="str">
        <f t="shared" si="17"/>
        <v>0</v>
      </c>
      <c r="R138" s="328">
        <f t="shared" si="18"/>
        <v>0.52252252252252251</v>
      </c>
      <c r="S138" s="326">
        <f t="shared" si="19"/>
        <v>0.52</v>
      </c>
      <c r="T138" s="264" t="str">
        <f t="shared" si="7"/>
        <v>Wert zu hoch</v>
      </c>
      <c r="AC138" s="211"/>
    </row>
    <row r="139" spans="1:29" s="270" customFormat="1" ht="18.5" x14ac:dyDescent="0.45">
      <c r="A139" s="272"/>
      <c r="B139" s="266">
        <v>20</v>
      </c>
      <c r="C139" s="266">
        <v>12</v>
      </c>
      <c r="D139" s="266">
        <v>5</v>
      </c>
      <c r="E139" s="266"/>
      <c r="F139" s="266"/>
      <c r="G139" s="267">
        <f t="shared" ref="G139:G144" si="32">SUM(B139:F139)</f>
        <v>37</v>
      </c>
      <c r="H139" s="268">
        <f t="shared" si="8"/>
        <v>0.54054054054054057</v>
      </c>
      <c r="I139" s="268">
        <f t="shared" si="9"/>
        <v>0.32432432432432434</v>
      </c>
      <c r="J139" s="268">
        <f t="shared" si="10"/>
        <v>0.13513513513513514</v>
      </c>
      <c r="K139" s="268">
        <f t="shared" si="11"/>
        <v>0</v>
      </c>
      <c r="L139" s="268">
        <f t="shared" si="12"/>
        <v>0</v>
      </c>
      <c r="M139" s="269">
        <f t="shared" ref="M139:M144" si="33">IF(B139=0,"0",ABS(1/COUNTIF(B139:F139,"&gt;0")-H139))</f>
        <v>0.20720720720720726</v>
      </c>
      <c r="N139" s="269">
        <f t="shared" ref="N139:N144" si="34">IF(C139=0,"0",ABS(1/COUNTIF(B139:F139,"&gt;0")-I139))</f>
        <v>9.0090090090089725E-3</v>
      </c>
      <c r="O139" s="269">
        <f t="shared" ref="O139:O144" si="35">IF(D139=0,"0",ABS(1/COUNTIF(B139:F139,"&gt;0")-J139))</f>
        <v>0.19819819819819817</v>
      </c>
      <c r="P139" s="269" t="str">
        <f t="shared" ref="P139:P144" si="36">IF(E139=0,"0",ABS(1/COUNTIF(B139:F139,"&gt;0")-K139))</f>
        <v>0</v>
      </c>
      <c r="Q139" s="269" t="str">
        <f t="shared" ref="Q139:Q144" si="37">IF(F139=0,"0",ABS(1/COUNTIF(B139:F139,"&gt;0")-L139))</f>
        <v>0</v>
      </c>
      <c r="R139" s="328">
        <f t="shared" si="18"/>
        <v>0.4144144144144144</v>
      </c>
      <c r="S139" s="326">
        <f t="shared" si="19"/>
        <v>0.41</v>
      </c>
      <c r="T139" s="264" t="str">
        <f t="shared" si="7"/>
        <v>&lt;=0,46</v>
      </c>
      <c r="AC139" s="211"/>
    </row>
    <row r="140" spans="1:29" s="270" customFormat="1" ht="18.5" x14ac:dyDescent="0.45">
      <c r="A140" s="273"/>
      <c r="B140" s="274">
        <f>37/2</f>
        <v>18.5</v>
      </c>
      <c r="C140" s="274">
        <f>37/2</f>
        <v>18.5</v>
      </c>
      <c r="D140" s="274"/>
      <c r="E140" s="275"/>
      <c r="F140" s="275"/>
      <c r="G140" s="276">
        <f t="shared" si="32"/>
        <v>37</v>
      </c>
      <c r="H140" s="277">
        <f t="shared" si="8"/>
        <v>0.5</v>
      </c>
      <c r="I140" s="277">
        <f t="shared" si="9"/>
        <v>0.5</v>
      </c>
      <c r="J140" s="277">
        <f t="shared" si="10"/>
        <v>0</v>
      </c>
      <c r="K140" s="277">
        <f t="shared" si="11"/>
        <v>0</v>
      </c>
      <c r="L140" s="277">
        <f t="shared" si="12"/>
        <v>0</v>
      </c>
      <c r="M140" s="278">
        <f t="shared" si="33"/>
        <v>0</v>
      </c>
      <c r="N140" s="278">
        <f t="shared" si="34"/>
        <v>0</v>
      </c>
      <c r="O140" s="278" t="str">
        <f t="shared" si="35"/>
        <v>0</v>
      </c>
      <c r="P140" s="278" t="str">
        <f t="shared" si="36"/>
        <v>0</v>
      </c>
      <c r="Q140" s="278" t="str">
        <f t="shared" si="37"/>
        <v>0</v>
      </c>
      <c r="R140" s="328">
        <f t="shared" si="18"/>
        <v>0</v>
      </c>
      <c r="S140" s="326">
        <f t="shared" si="19"/>
        <v>0</v>
      </c>
      <c r="T140" s="279" t="str">
        <f t="shared" si="7"/>
        <v>&lt;=0,46</v>
      </c>
      <c r="AC140" s="211"/>
    </row>
    <row r="141" spans="1:29" s="270" customFormat="1" ht="18.5" x14ac:dyDescent="0.45">
      <c r="A141" s="273"/>
      <c r="B141" s="274">
        <v>20</v>
      </c>
      <c r="C141" s="274">
        <v>17</v>
      </c>
      <c r="D141" s="274"/>
      <c r="E141" s="275"/>
      <c r="F141" s="275"/>
      <c r="G141" s="276">
        <f t="shared" si="32"/>
        <v>37</v>
      </c>
      <c r="H141" s="277">
        <f t="shared" si="8"/>
        <v>0.54054054054054057</v>
      </c>
      <c r="I141" s="277">
        <f t="shared" si="9"/>
        <v>0.45945945945945948</v>
      </c>
      <c r="J141" s="277">
        <f t="shared" si="10"/>
        <v>0</v>
      </c>
      <c r="K141" s="277">
        <f t="shared" si="11"/>
        <v>0</v>
      </c>
      <c r="L141" s="277">
        <f t="shared" si="12"/>
        <v>0</v>
      </c>
      <c r="M141" s="278">
        <f t="shared" si="33"/>
        <v>4.0540540540540571E-2</v>
      </c>
      <c r="N141" s="278">
        <f t="shared" si="34"/>
        <v>4.0540540540540515E-2</v>
      </c>
      <c r="O141" s="278" t="str">
        <f t="shared" si="35"/>
        <v>0</v>
      </c>
      <c r="P141" s="278" t="str">
        <f t="shared" si="36"/>
        <v>0</v>
      </c>
      <c r="Q141" s="278" t="str">
        <f t="shared" si="37"/>
        <v>0</v>
      </c>
      <c r="R141" s="328">
        <f t="shared" si="18"/>
        <v>8.1081081081081086E-2</v>
      </c>
      <c r="S141" s="326">
        <f t="shared" si="19"/>
        <v>0.08</v>
      </c>
      <c r="T141" s="279" t="str">
        <f t="shared" si="7"/>
        <v>&lt;=0,46</v>
      </c>
      <c r="AC141" s="211"/>
    </row>
    <row r="142" spans="1:29" s="270" customFormat="1" ht="18.5" x14ac:dyDescent="0.45">
      <c r="A142" s="273"/>
      <c r="B142" s="274">
        <v>26</v>
      </c>
      <c r="C142" s="274">
        <v>11</v>
      </c>
      <c r="D142" s="274"/>
      <c r="E142" s="275"/>
      <c r="F142" s="275"/>
      <c r="G142" s="276">
        <f t="shared" si="32"/>
        <v>37</v>
      </c>
      <c r="H142" s="277">
        <f t="shared" si="8"/>
        <v>0.70270270270270274</v>
      </c>
      <c r="I142" s="277">
        <f t="shared" si="9"/>
        <v>0.29729729729729731</v>
      </c>
      <c r="J142" s="277">
        <f t="shared" si="10"/>
        <v>0</v>
      </c>
      <c r="K142" s="277">
        <f t="shared" si="11"/>
        <v>0</v>
      </c>
      <c r="L142" s="277">
        <f t="shared" si="12"/>
        <v>0</v>
      </c>
      <c r="M142" s="278">
        <f t="shared" si="33"/>
        <v>0.20270270270270274</v>
      </c>
      <c r="N142" s="278">
        <f t="shared" si="34"/>
        <v>0.20270270270270269</v>
      </c>
      <c r="O142" s="278" t="str">
        <f t="shared" si="35"/>
        <v>0</v>
      </c>
      <c r="P142" s="278" t="str">
        <f t="shared" si="36"/>
        <v>0</v>
      </c>
      <c r="Q142" s="278" t="str">
        <f t="shared" si="37"/>
        <v>0</v>
      </c>
      <c r="R142" s="328">
        <f t="shared" si="18"/>
        <v>0.40540540540540543</v>
      </c>
      <c r="S142" s="326">
        <f t="shared" si="19"/>
        <v>0.4</v>
      </c>
      <c r="T142" s="279" t="str">
        <f t="shared" si="7"/>
        <v>&lt;=0,46</v>
      </c>
      <c r="AC142" s="211"/>
    </row>
    <row r="143" spans="1:29" s="270" customFormat="1" ht="18.5" x14ac:dyDescent="0.45">
      <c r="A143" s="273"/>
      <c r="B143" s="274">
        <v>27</v>
      </c>
      <c r="C143" s="274">
        <v>10</v>
      </c>
      <c r="D143" s="274"/>
      <c r="E143" s="275"/>
      <c r="F143" s="275"/>
      <c r="G143" s="276">
        <f t="shared" si="32"/>
        <v>37</v>
      </c>
      <c r="H143" s="277">
        <f t="shared" si="8"/>
        <v>0.72972972972972971</v>
      </c>
      <c r="I143" s="277">
        <f t="shared" si="9"/>
        <v>0.27027027027027029</v>
      </c>
      <c r="J143" s="277">
        <f t="shared" si="10"/>
        <v>0</v>
      </c>
      <c r="K143" s="277">
        <f t="shared" si="11"/>
        <v>0</v>
      </c>
      <c r="L143" s="277">
        <f t="shared" si="12"/>
        <v>0</v>
      </c>
      <c r="M143" s="278">
        <f t="shared" si="33"/>
        <v>0.22972972972972971</v>
      </c>
      <c r="N143" s="278">
        <f t="shared" si="34"/>
        <v>0.22972972972972971</v>
      </c>
      <c r="O143" s="278" t="str">
        <f t="shared" si="35"/>
        <v>0</v>
      </c>
      <c r="P143" s="278" t="str">
        <f t="shared" si="36"/>
        <v>0</v>
      </c>
      <c r="Q143" s="278" t="str">
        <f t="shared" si="37"/>
        <v>0</v>
      </c>
      <c r="R143" s="328">
        <f t="shared" si="18"/>
        <v>0.45945945945945943</v>
      </c>
      <c r="S143" s="326">
        <f t="shared" si="19"/>
        <v>0.45</v>
      </c>
      <c r="T143" s="279" t="str">
        <f t="shared" si="7"/>
        <v>&lt;=0,46</v>
      </c>
      <c r="AC143" s="211"/>
    </row>
    <row r="144" spans="1:29" s="270" customFormat="1" ht="18.649999999999999" customHeight="1" x14ac:dyDescent="0.45">
      <c r="A144" s="273"/>
      <c r="B144" s="274"/>
      <c r="C144" s="274"/>
      <c r="D144" s="274"/>
      <c r="E144" s="275"/>
      <c r="F144" s="275"/>
      <c r="G144" s="276">
        <f t="shared" si="32"/>
        <v>0</v>
      </c>
      <c r="H144" s="277" t="e">
        <f t="shared" si="8"/>
        <v>#DIV/0!</v>
      </c>
      <c r="I144" s="277" t="e">
        <f t="shared" si="9"/>
        <v>#DIV/0!</v>
      </c>
      <c r="J144" s="277" t="e">
        <f t="shared" si="10"/>
        <v>#DIV/0!</v>
      </c>
      <c r="K144" s="277" t="e">
        <f t="shared" si="11"/>
        <v>#DIV/0!</v>
      </c>
      <c r="L144" s="277" t="e">
        <f t="shared" si="12"/>
        <v>#DIV/0!</v>
      </c>
      <c r="M144" s="278" t="str">
        <f t="shared" si="33"/>
        <v>0</v>
      </c>
      <c r="N144" s="278" t="str">
        <f t="shared" si="34"/>
        <v>0</v>
      </c>
      <c r="O144" s="278" t="str">
        <f t="shared" si="35"/>
        <v>0</v>
      </c>
      <c r="P144" s="278" t="str">
        <f t="shared" si="36"/>
        <v>0</v>
      </c>
      <c r="Q144" s="278" t="str">
        <f t="shared" si="37"/>
        <v>0</v>
      </c>
      <c r="R144" s="328">
        <f t="shared" si="18"/>
        <v>0</v>
      </c>
      <c r="S144" s="326">
        <f t="shared" si="19"/>
        <v>0</v>
      </c>
      <c r="T144" s="279" t="str">
        <f t="shared" si="7"/>
        <v>&lt;=0,46</v>
      </c>
      <c r="AC144" s="211"/>
    </row>
    <row r="145" spans="1:29" s="270" customFormat="1" ht="18.5" x14ac:dyDescent="0.45">
      <c r="A145" s="273" t="s">
        <v>141</v>
      </c>
      <c r="B145" s="274">
        <f>37/3</f>
        <v>12.333333333333334</v>
      </c>
      <c r="C145" s="274">
        <f>37/3</f>
        <v>12.333333333333334</v>
      </c>
      <c r="D145" s="274">
        <f>37/3</f>
        <v>12.333333333333334</v>
      </c>
      <c r="E145" s="275"/>
      <c r="F145" s="275"/>
      <c r="G145" s="276">
        <f>SUM(B145:F145)</f>
        <v>37</v>
      </c>
      <c r="H145" s="277">
        <f t="shared" si="8"/>
        <v>0.33333333333333337</v>
      </c>
      <c r="I145" s="277">
        <f t="shared" si="9"/>
        <v>0.33333333333333337</v>
      </c>
      <c r="J145" s="277">
        <f t="shared" si="10"/>
        <v>0.33333333333333337</v>
      </c>
      <c r="K145" s="277">
        <f t="shared" si="11"/>
        <v>0</v>
      </c>
      <c r="L145" s="277">
        <f t="shared" si="12"/>
        <v>0</v>
      </c>
      <c r="M145" s="278">
        <f t="shared" ref="M145:M154" si="38">IF(B145=0,"0",ABS(1/COUNTIF(B145:F145,"&gt;0")-H145))</f>
        <v>5.5511151231257827E-17</v>
      </c>
      <c r="N145" s="278">
        <f t="shared" ref="N145:N154" si="39">IF(C145=0,"0",ABS(1/COUNTIF(B145:F145,"&gt;0")-I145))</f>
        <v>5.5511151231257827E-17</v>
      </c>
      <c r="O145" s="278">
        <f t="shared" ref="O145:O154" si="40">IF(D145=0,"0",ABS(1/COUNTIF(B145:F145,"&gt;0")-J145))</f>
        <v>5.5511151231257827E-17</v>
      </c>
      <c r="P145" s="278" t="str">
        <f t="shared" ref="P145:P154" si="41">IF(E145=0,"0",ABS(1/COUNTIF(B145:F145,"&gt;0")-K145))</f>
        <v>0</v>
      </c>
      <c r="Q145" s="278" t="str">
        <f t="shared" ref="Q145:Q154" si="42">IF(F145=0,"0",ABS(1/COUNTIF(B145:F145,"&gt;0")-L145))</f>
        <v>0</v>
      </c>
      <c r="R145" s="328">
        <f t="shared" si="18"/>
        <v>1.6653345369377348E-16</v>
      </c>
      <c r="S145" s="326">
        <f t="shared" si="19"/>
        <v>0</v>
      </c>
      <c r="T145" s="279" t="str">
        <f t="shared" si="7"/>
        <v>&lt;=0,46</v>
      </c>
      <c r="AC145" s="211"/>
    </row>
    <row r="146" spans="1:29" s="270" customFormat="1" ht="18.5" x14ac:dyDescent="0.45">
      <c r="A146" s="273"/>
      <c r="B146" s="274">
        <v>15</v>
      </c>
      <c r="C146" s="274">
        <v>17</v>
      </c>
      <c r="D146" s="274">
        <v>5</v>
      </c>
      <c r="E146" s="275"/>
      <c r="F146" s="275"/>
      <c r="G146" s="276">
        <f t="shared" ref="G146:G166" si="43">SUM(B146:F146)</f>
        <v>37</v>
      </c>
      <c r="H146" s="277">
        <f t="shared" si="8"/>
        <v>0.40540540540540543</v>
      </c>
      <c r="I146" s="277">
        <f t="shared" si="9"/>
        <v>0.45945945945945948</v>
      </c>
      <c r="J146" s="277">
        <f t="shared" si="10"/>
        <v>0.13513513513513514</v>
      </c>
      <c r="K146" s="277">
        <f t="shared" si="11"/>
        <v>0</v>
      </c>
      <c r="L146" s="277">
        <f t="shared" si="12"/>
        <v>0</v>
      </c>
      <c r="M146" s="278">
        <f t="shared" si="38"/>
        <v>7.2072072072072113E-2</v>
      </c>
      <c r="N146" s="278">
        <f t="shared" si="39"/>
        <v>0.12612612612612617</v>
      </c>
      <c r="O146" s="278">
        <f t="shared" si="40"/>
        <v>0.19819819819819817</v>
      </c>
      <c r="P146" s="278" t="str">
        <f t="shared" si="41"/>
        <v>0</v>
      </c>
      <c r="Q146" s="278" t="str">
        <f t="shared" si="42"/>
        <v>0</v>
      </c>
      <c r="R146" s="328">
        <f t="shared" si="18"/>
        <v>0.39639639639639646</v>
      </c>
      <c r="S146" s="326">
        <f t="shared" si="19"/>
        <v>0.39</v>
      </c>
      <c r="T146" s="279" t="str">
        <f t="shared" si="7"/>
        <v>&lt;=0,46</v>
      </c>
      <c r="AC146" s="211"/>
    </row>
    <row r="147" spans="1:29" s="270" customFormat="1" ht="18.5" x14ac:dyDescent="0.45">
      <c r="A147" s="273"/>
      <c r="B147" s="274">
        <v>15</v>
      </c>
      <c r="C147" s="274">
        <v>14</v>
      </c>
      <c r="D147" s="274">
        <v>8</v>
      </c>
      <c r="E147" s="275"/>
      <c r="F147" s="275"/>
      <c r="G147" s="276">
        <f t="shared" si="43"/>
        <v>37</v>
      </c>
      <c r="H147" s="277">
        <f t="shared" si="8"/>
        <v>0.40540540540540543</v>
      </c>
      <c r="I147" s="277">
        <f t="shared" si="9"/>
        <v>0.3783783783783784</v>
      </c>
      <c r="J147" s="277">
        <f t="shared" si="10"/>
        <v>0.21621621621621623</v>
      </c>
      <c r="K147" s="277">
        <f t="shared" si="11"/>
        <v>0</v>
      </c>
      <c r="L147" s="277">
        <f t="shared" si="12"/>
        <v>0</v>
      </c>
      <c r="M147" s="278">
        <f t="shared" si="38"/>
        <v>7.2072072072072113E-2</v>
      </c>
      <c r="N147" s="278">
        <f t="shared" si="39"/>
        <v>4.5045045045045085E-2</v>
      </c>
      <c r="O147" s="278">
        <f t="shared" si="40"/>
        <v>0.11711711711711709</v>
      </c>
      <c r="P147" s="278" t="str">
        <f t="shared" si="41"/>
        <v>0</v>
      </c>
      <c r="Q147" s="278" t="str">
        <f t="shared" si="42"/>
        <v>0</v>
      </c>
      <c r="R147" s="328">
        <f t="shared" si="18"/>
        <v>0.23423423423423428</v>
      </c>
      <c r="S147" s="326">
        <f t="shared" si="19"/>
        <v>0.23</v>
      </c>
      <c r="T147" s="279" t="str">
        <f t="shared" si="7"/>
        <v>&lt;=0,46</v>
      </c>
      <c r="AC147" s="211"/>
    </row>
    <row r="148" spans="1:29" s="270" customFormat="1" ht="18.5" x14ac:dyDescent="0.45">
      <c r="A148" s="273"/>
      <c r="B148" s="274">
        <v>22</v>
      </c>
      <c r="C148" s="274">
        <v>10</v>
      </c>
      <c r="D148" s="274">
        <v>5</v>
      </c>
      <c r="E148" s="275"/>
      <c r="F148" s="275"/>
      <c r="G148" s="276">
        <f t="shared" si="43"/>
        <v>37</v>
      </c>
      <c r="H148" s="277">
        <f t="shared" si="8"/>
        <v>0.59459459459459463</v>
      </c>
      <c r="I148" s="277">
        <f t="shared" si="9"/>
        <v>0.27027027027027029</v>
      </c>
      <c r="J148" s="277">
        <f t="shared" si="10"/>
        <v>0.13513513513513514</v>
      </c>
      <c r="K148" s="277">
        <f t="shared" si="11"/>
        <v>0</v>
      </c>
      <c r="L148" s="277">
        <f t="shared" si="12"/>
        <v>0</v>
      </c>
      <c r="M148" s="278">
        <f t="shared" si="38"/>
        <v>0.26126126126126131</v>
      </c>
      <c r="N148" s="278">
        <f t="shared" si="39"/>
        <v>6.306306306306303E-2</v>
      </c>
      <c r="O148" s="278">
        <f t="shared" si="40"/>
        <v>0.19819819819819817</v>
      </c>
      <c r="P148" s="278" t="str">
        <f t="shared" si="41"/>
        <v>0</v>
      </c>
      <c r="Q148" s="278" t="str">
        <f t="shared" si="42"/>
        <v>0</v>
      </c>
      <c r="R148" s="328">
        <f t="shared" si="18"/>
        <v>0.52252252252252251</v>
      </c>
      <c r="S148" s="326">
        <f t="shared" si="19"/>
        <v>0.52</v>
      </c>
      <c r="T148" s="279" t="str">
        <f t="shared" si="7"/>
        <v>Wert zu hoch</v>
      </c>
      <c r="AC148" s="211"/>
    </row>
    <row r="149" spans="1:29" s="270" customFormat="1" ht="18.5" x14ac:dyDescent="0.45">
      <c r="A149" s="274"/>
      <c r="B149" s="274">
        <v>21</v>
      </c>
      <c r="C149" s="274">
        <v>10</v>
      </c>
      <c r="D149" s="274">
        <v>6</v>
      </c>
      <c r="E149" s="275"/>
      <c r="F149" s="274"/>
      <c r="G149" s="276">
        <f t="shared" si="43"/>
        <v>37</v>
      </c>
      <c r="H149" s="277">
        <f t="shared" si="8"/>
        <v>0.56756756756756754</v>
      </c>
      <c r="I149" s="277">
        <f t="shared" si="9"/>
        <v>0.27027027027027029</v>
      </c>
      <c r="J149" s="277">
        <f t="shared" si="10"/>
        <v>0.16216216216216217</v>
      </c>
      <c r="K149" s="277">
        <f t="shared" si="11"/>
        <v>0</v>
      </c>
      <c r="L149" s="277">
        <f t="shared" si="12"/>
        <v>0</v>
      </c>
      <c r="M149" s="278">
        <f t="shared" si="38"/>
        <v>0.23423423423423423</v>
      </c>
      <c r="N149" s="278">
        <f t="shared" si="39"/>
        <v>6.306306306306303E-2</v>
      </c>
      <c r="O149" s="278">
        <f t="shared" si="40"/>
        <v>0.17117117117117114</v>
      </c>
      <c r="P149" s="278" t="str">
        <f t="shared" si="41"/>
        <v>0</v>
      </c>
      <c r="Q149" s="278" t="str">
        <f t="shared" si="42"/>
        <v>0</v>
      </c>
      <c r="R149" s="328">
        <f t="shared" si="18"/>
        <v>0.4684684684684684</v>
      </c>
      <c r="S149" s="326">
        <f t="shared" si="19"/>
        <v>0.46</v>
      </c>
      <c r="T149" s="279" t="str">
        <f t="shared" si="7"/>
        <v>&lt;=0,46</v>
      </c>
      <c r="AC149" s="211"/>
    </row>
    <row r="150" spans="1:29" s="270" customFormat="1" ht="18.5" x14ac:dyDescent="0.45">
      <c r="A150" s="273"/>
      <c r="B150" s="274">
        <v>15</v>
      </c>
      <c r="C150" s="274">
        <v>15</v>
      </c>
      <c r="D150" s="274">
        <v>7</v>
      </c>
      <c r="E150" s="275"/>
      <c r="F150" s="275"/>
      <c r="G150" s="276">
        <f t="shared" si="43"/>
        <v>37</v>
      </c>
      <c r="H150" s="277">
        <f t="shared" si="8"/>
        <v>0.40540540540540543</v>
      </c>
      <c r="I150" s="277">
        <f t="shared" si="9"/>
        <v>0.40540540540540543</v>
      </c>
      <c r="J150" s="277">
        <f t="shared" si="10"/>
        <v>0.1891891891891892</v>
      </c>
      <c r="K150" s="277">
        <f t="shared" si="11"/>
        <v>0</v>
      </c>
      <c r="L150" s="277">
        <f t="shared" si="12"/>
        <v>0</v>
      </c>
      <c r="M150" s="278">
        <f t="shared" si="38"/>
        <v>7.2072072072072113E-2</v>
      </c>
      <c r="N150" s="278">
        <f t="shared" si="39"/>
        <v>7.2072072072072113E-2</v>
      </c>
      <c r="O150" s="278">
        <f t="shared" si="40"/>
        <v>0.14414414414414412</v>
      </c>
      <c r="P150" s="278" t="str">
        <f t="shared" si="41"/>
        <v>0</v>
      </c>
      <c r="Q150" s="278" t="str">
        <f t="shared" si="42"/>
        <v>0</v>
      </c>
      <c r="R150" s="328">
        <f t="shared" si="18"/>
        <v>0.28828828828828834</v>
      </c>
      <c r="S150" s="326">
        <f t="shared" si="19"/>
        <v>0.28000000000000003</v>
      </c>
      <c r="T150" s="279" t="str">
        <f t="shared" si="7"/>
        <v>&lt;=0,46</v>
      </c>
      <c r="AC150" s="211"/>
    </row>
    <row r="151" spans="1:29" s="270" customFormat="1" ht="18.5" x14ac:dyDescent="0.45">
      <c r="A151" s="273"/>
      <c r="B151" s="274">
        <v>20</v>
      </c>
      <c r="C151" s="274">
        <v>15</v>
      </c>
      <c r="D151" s="274">
        <v>2</v>
      </c>
      <c r="E151" s="275"/>
      <c r="F151" s="275"/>
      <c r="G151" s="276">
        <f t="shared" si="43"/>
        <v>37</v>
      </c>
      <c r="H151" s="277">
        <f t="shared" si="8"/>
        <v>0.54054054054054057</v>
      </c>
      <c r="I151" s="277">
        <f t="shared" si="9"/>
        <v>0.40540540540540543</v>
      </c>
      <c r="J151" s="277">
        <f t="shared" si="10"/>
        <v>5.4054054054054057E-2</v>
      </c>
      <c r="K151" s="277">
        <f t="shared" si="11"/>
        <v>0</v>
      </c>
      <c r="L151" s="277">
        <f t="shared" si="12"/>
        <v>0</v>
      </c>
      <c r="M151" s="278">
        <f t="shared" si="38"/>
        <v>0.20720720720720726</v>
      </c>
      <c r="N151" s="278">
        <f t="shared" si="39"/>
        <v>7.2072072072072113E-2</v>
      </c>
      <c r="O151" s="278">
        <f t="shared" si="40"/>
        <v>0.27927927927927926</v>
      </c>
      <c r="P151" s="278" t="str">
        <f t="shared" si="41"/>
        <v>0</v>
      </c>
      <c r="Q151" s="278" t="str">
        <f t="shared" si="42"/>
        <v>0</v>
      </c>
      <c r="R151" s="328">
        <f t="shared" si="18"/>
        <v>0.55855855855855863</v>
      </c>
      <c r="S151" s="326">
        <f t="shared" si="19"/>
        <v>0.55000000000000004</v>
      </c>
      <c r="T151" s="279" t="str">
        <f t="shared" si="7"/>
        <v>Wert zu hoch</v>
      </c>
      <c r="AC151" s="211"/>
    </row>
    <row r="152" spans="1:29" s="270" customFormat="1" ht="18.5" x14ac:dyDescent="0.45">
      <c r="A152" s="273"/>
      <c r="B152" s="274">
        <v>23</v>
      </c>
      <c r="C152" s="274">
        <v>11</v>
      </c>
      <c r="D152" s="274">
        <v>5</v>
      </c>
      <c r="E152" s="275"/>
      <c r="F152" s="275"/>
      <c r="G152" s="276">
        <f t="shared" si="43"/>
        <v>39</v>
      </c>
      <c r="H152" s="277">
        <f t="shared" si="8"/>
        <v>0.58974358974358976</v>
      </c>
      <c r="I152" s="277">
        <f t="shared" si="9"/>
        <v>0.28205128205128205</v>
      </c>
      <c r="J152" s="277">
        <f t="shared" si="10"/>
        <v>0.12820512820512819</v>
      </c>
      <c r="K152" s="277">
        <f t="shared" si="11"/>
        <v>0</v>
      </c>
      <c r="L152" s="277">
        <f t="shared" si="12"/>
        <v>0</v>
      </c>
      <c r="M152" s="278">
        <f t="shared" si="38"/>
        <v>0.25641025641025644</v>
      </c>
      <c r="N152" s="278">
        <f t="shared" si="39"/>
        <v>5.1282051282051266E-2</v>
      </c>
      <c r="O152" s="278">
        <f t="shared" si="40"/>
        <v>0.20512820512820512</v>
      </c>
      <c r="P152" s="278" t="str">
        <f t="shared" si="41"/>
        <v>0</v>
      </c>
      <c r="Q152" s="278" t="str">
        <f t="shared" si="42"/>
        <v>0</v>
      </c>
      <c r="R152" s="328">
        <f t="shared" si="18"/>
        <v>0.51282051282051277</v>
      </c>
      <c r="S152" s="326">
        <f t="shared" si="19"/>
        <v>0.51</v>
      </c>
      <c r="T152" s="279" t="str">
        <f t="shared" si="7"/>
        <v>Wert zu hoch</v>
      </c>
      <c r="AC152" s="211"/>
    </row>
    <row r="153" spans="1:29" s="270" customFormat="1" ht="18.5" x14ac:dyDescent="0.45">
      <c r="A153" s="273"/>
      <c r="B153" s="274">
        <v>15</v>
      </c>
      <c r="C153" s="274">
        <v>17</v>
      </c>
      <c r="D153" s="274">
        <v>5</v>
      </c>
      <c r="E153" s="275"/>
      <c r="F153" s="275"/>
      <c r="G153" s="276">
        <f t="shared" si="43"/>
        <v>37</v>
      </c>
      <c r="H153" s="277">
        <f t="shared" si="8"/>
        <v>0.40540540540540543</v>
      </c>
      <c r="I153" s="277">
        <f t="shared" si="9"/>
        <v>0.45945945945945948</v>
      </c>
      <c r="J153" s="277">
        <f t="shared" si="10"/>
        <v>0.13513513513513514</v>
      </c>
      <c r="K153" s="277">
        <f t="shared" si="11"/>
        <v>0</v>
      </c>
      <c r="L153" s="277">
        <f t="shared" si="12"/>
        <v>0</v>
      </c>
      <c r="M153" s="278">
        <f t="shared" si="38"/>
        <v>7.2072072072072113E-2</v>
      </c>
      <c r="N153" s="278">
        <f t="shared" si="39"/>
        <v>0.12612612612612617</v>
      </c>
      <c r="O153" s="278">
        <f t="shared" si="40"/>
        <v>0.19819819819819817</v>
      </c>
      <c r="P153" s="278" t="str">
        <f t="shared" si="41"/>
        <v>0</v>
      </c>
      <c r="Q153" s="278" t="str">
        <f t="shared" si="42"/>
        <v>0</v>
      </c>
      <c r="R153" s="328">
        <f t="shared" si="18"/>
        <v>0.39639639639639646</v>
      </c>
      <c r="S153" s="326">
        <f t="shared" si="19"/>
        <v>0.39</v>
      </c>
      <c r="T153" s="279" t="str">
        <f t="shared" si="7"/>
        <v>&lt;=0,46</v>
      </c>
      <c r="AC153" s="211"/>
    </row>
    <row r="154" spans="1:29" s="270" customFormat="1" ht="18.5" x14ac:dyDescent="0.45">
      <c r="A154" s="273"/>
      <c r="B154" s="274">
        <f>37/2</f>
        <v>18.5</v>
      </c>
      <c r="C154" s="274">
        <f>37/2</f>
        <v>18.5</v>
      </c>
      <c r="D154" s="274"/>
      <c r="E154" s="275"/>
      <c r="F154" s="275"/>
      <c r="G154" s="276">
        <f t="shared" si="43"/>
        <v>37</v>
      </c>
      <c r="H154" s="277">
        <f t="shared" si="8"/>
        <v>0.5</v>
      </c>
      <c r="I154" s="277">
        <f t="shared" si="9"/>
        <v>0.5</v>
      </c>
      <c r="J154" s="277">
        <f t="shared" si="10"/>
        <v>0</v>
      </c>
      <c r="K154" s="277">
        <f t="shared" si="11"/>
        <v>0</v>
      </c>
      <c r="L154" s="277">
        <f t="shared" si="12"/>
        <v>0</v>
      </c>
      <c r="M154" s="278">
        <f t="shared" si="38"/>
        <v>0</v>
      </c>
      <c r="N154" s="278">
        <f t="shared" si="39"/>
        <v>0</v>
      </c>
      <c r="O154" s="278" t="str">
        <f t="shared" si="40"/>
        <v>0</v>
      </c>
      <c r="P154" s="278" t="str">
        <f t="shared" si="41"/>
        <v>0</v>
      </c>
      <c r="Q154" s="278" t="str">
        <f t="shared" si="42"/>
        <v>0</v>
      </c>
      <c r="R154" s="328">
        <f t="shared" si="18"/>
        <v>0</v>
      </c>
      <c r="S154" s="326">
        <f t="shared" si="19"/>
        <v>0</v>
      </c>
      <c r="T154" s="279" t="str">
        <f t="shared" si="7"/>
        <v>&lt;=0,46</v>
      </c>
      <c r="AC154" s="211"/>
    </row>
    <row r="155" spans="1:29" s="270" customFormat="1" ht="18.5" x14ac:dyDescent="0.45">
      <c r="A155" s="273"/>
      <c r="B155" s="274">
        <v>19</v>
      </c>
      <c r="C155" s="274">
        <v>19</v>
      </c>
      <c r="D155" s="274"/>
      <c r="E155" s="275"/>
      <c r="F155" s="275"/>
      <c r="G155" s="276">
        <f t="shared" si="43"/>
        <v>38</v>
      </c>
      <c r="H155" s="277">
        <f t="shared" si="8"/>
        <v>0.5</v>
      </c>
      <c r="I155" s="277">
        <f t="shared" si="9"/>
        <v>0.5</v>
      </c>
      <c r="J155" s="277">
        <f t="shared" si="10"/>
        <v>0</v>
      </c>
      <c r="K155" s="277">
        <f t="shared" si="11"/>
        <v>0</v>
      </c>
      <c r="L155" s="277">
        <f t="shared" si="12"/>
        <v>0</v>
      </c>
      <c r="M155" s="278">
        <f t="shared" ref="M155:M166" si="44">IF(B155=0,"0",ABS(1/COUNTIF(B155:F155,"&gt;0")-H155))</f>
        <v>0</v>
      </c>
      <c r="N155" s="278">
        <f t="shared" ref="N155:N166" si="45">IF(C155=0,"0",ABS(1/COUNTIF(B155:F155,"&gt;0")-I155))</f>
        <v>0</v>
      </c>
      <c r="O155" s="278" t="str">
        <f t="shared" ref="O155:O166" si="46">IF(D155=0,"0",ABS(1/COUNTIF(B155:F155,"&gt;0")-J155))</f>
        <v>0</v>
      </c>
      <c r="P155" s="278" t="str">
        <f t="shared" ref="P155:P166" si="47">IF(E155=0,"0",ABS(1/COUNTIF(B155:F155,"&gt;0")-K155))</f>
        <v>0</v>
      </c>
      <c r="Q155" s="278" t="str">
        <f t="shared" ref="Q155:Q166" si="48">IF(F155=0,"0",ABS(1/COUNTIF(B155:F155,"&gt;0")-L155))</f>
        <v>0</v>
      </c>
      <c r="R155" s="328">
        <f t="shared" si="18"/>
        <v>0</v>
      </c>
      <c r="S155" s="326">
        <f t="shared" si="19"/>
        <v>0</v>
      </c>
      <c r="T155" s="279" t="str">
        <f t="shared" si="7"/>
        <v>&lt;=0,46</v>
      </c>
      <c r="AC155" s="211"/>
    </row>
    <row r="156" spans="1:29" s="270" customFormat="1" ht="18.5" x14ac:dyDescent="0.45">
      <c r="A156" s="273"/>
      <c r="B156" s="274">
        <v>27</v>
      </c>
      <c r="C156" s="274">
        <v>10</v>
      </c>
      <c r="D156" s="274"/>
      <c r="E156" s="275"/>
      <c r="F156" s="275"/>
      <c r="G156" s="276">
        <f t="shared" si="43"/>
        <v>37</v>
      </c>
      <c r="H156" s="277">
        <f t="shared" si="8"/>
        <v>0.72972972972972971</v>
      </c>
      <c r="I156" s="277">
        <f t="shared" si="9"/>
        <v>0.27027027027027029</v>
      </c>
      <c r="J156" s="277">
        <f t="shared" si="10"/>
        <v>0</v>
      </c>
      <c r="K156" s="277">
        <f t="shared" si="11"/>
        <v>0</v>
      </c>
      <c r="L156" s="277">
        <f t="shared" si="12"/>
        <v>0</v>
      </c>
      <c r="M156" s="278">
        <f t="shared" si="44"/>
        <v>0.22972972972972971</v>
      </c>
      <c r="N156" s="278">
        <f t="shared" si="45"/>
        <v>0.22972972972972971</v>
      </c>
      <c r="O156" s="278" t="str">
        <f t="shared" si="46"/>
        <v>0</v>
      </c>
      <c r="P156" s="278" t="str">
        <f t="shared" si="47"/>
        <v>0</v>
      </c>
      <c r="Q156" s="278" t="str">
        <f t="shared" si="48"/>
        <v>0</v>
      </c>
      <c r="R156" s="328">
        <f t="shared" si="18"/>
        <v>0.45945945945945943</v>
      </c>
      <c r="S156" s="326">
        <f t="shared" si="19"/>
        <v>0.45</v>
      </c>
      <c r="T156" s="279" t="str">
        <f t="shared" si="7"/>
        <v>&lt;=0,46</v>
      </c>
      <c r="AC156" s="211"/>
    </row>
    <row r="157" spans="1:29" s="270" customFormat="1" ht="18.5" x14ac:dyDescent="0.45">
      <c r="A157" s="273"/>
      <c r="B157" s="274">
        <v>28</v>
      </c>
      <c r="C157" s="274">
        <v>9</v>
      </c>
      <c r="D157" s="274"/>
      <c r="E157" s="275"/>
      <c r="F157" s="275"/>
      <c r="G157" s="276">
        <f t="shared" si="43"/>
        <v>37</v>
      </c>
      <c r="H157" s="277">
        <f t="shared" si="8"/>
        <v>0.7567567567567568</v>
      </c>
      <c r="I157" s="277">
        <f t="shared" si="9"/>
        <v>0.24324324324324326</v>
      </c>
      <c r="J157" s="277">
        <f t="shared" si="10"/>
        <v>0</v>
      </c>
      <c r="K157" s="277">
        <f t="shared" si="11"/>
        <v>0</v>
      </c>
      <c r="L157" s="277">
        <f t="shared" si="12"/>
        <v>0</v>
      </c>
      <c r="M157" s="278">
        <f t="shared" si="44"/>
        <v>0.2567567567567568</v>
      </c>
      <c r="N157" s="278">
        <f t="shared" si="45"/>
        <v>0.25675675675675674</v>
      </c>
      <c r="O157" s="278" t="str">
        <f t="shared" si="46"/>
        <v>0</v>
      </c>
      <c r="P157" s="278" t="str">
        <f t="shared" si="47"/>
        <v>0</v>
      </c>
      <c r="Q157" s="278" t="str">
        <f t="shared" si="48"/>
        <v>0</v>
      </c>
      <c r="R157" s="328">
        <f t="shared" si="18"/>
        <v>0.5135135135135136</v>
      </c>
      <c r="S157" s="326">
        <f t="shared" si="19"/>
        <v>0.51</v>
      </c>
      <c r="T157" s="279" t="str">
        <f t="shared" si="7"/>
        <v>Wert zu hoch</v>
      </c>
      <c r="AC157" s="211"/>
    </row>
    <row r="158" spans="1:29" s="270" customFormat="1" ht="18.649999999999999" customHeight="1" x14ac:dyDescent="0.45">
      <c r="A158" s="273"/>
      <c r="B158" s="274">
        <v>29</v>
      </c>
      <c r="C158" s="274">
        <v>8</v>
      </c>
      <c r="D158" s="274"/>
      <c r="E158" s="275"/>
      <c r="F158" s="275"/>
      <c r="G158" s="276">
        <f t="shared" si="43"/>
        <v>37</v>
      </c>
      <c r="H158" s="277">
        <f t="shared" si="8"/>
        <v>0.78378378378378377</v>
      </c>
      <c r="I158" s="277">
        <f t="shared" si="9"/>
        <v>0.21621621621621623</v>
      </c>
      <c r="J158" s="277">
        <f t="shared" si="10"/>
        <v>0</v>
      </c>
      <c r="K158" s="277">
        <f t="shared" si="11"/>
        <v>0</v>
      </c>
      <c r="L158" s="277">
        <f t="shared" si="12"/>
        <v>0</v>
      </c>
      <c r="M158" s="278">
        <f t="shared" si="44"/>
        <v>0.28378378378378377</v>
      </c>
      <c r="N158" s="278">
        <f t="shared" si="45"/>
        <v>0.28378378378378377</v>
      </c>
      <c r="O158" s="278" t="str">
        <f t="shared" si="46"/>
        <v>0</v>
      </c>
      <c r="P158" s="278" t="str">
        <f t="shared" si="47"/>
        <v>0</v>
      </c>
      <c r="Q158" s="278" t="str">
        <f t="shared" si="48"/>
        <v>0</v>
      </c>
      <c r="R158" s="328">
        <f t="shared" si="18"/>
        <v>0.56756756756756754</v>
      </c>
      <c r="S158" s="326">
        <f t="shared" si="19"/>
        <v>0.56000000000000005</v>
      </c>
      <c r="T158" s="279" t="str">
        <f t="shared" si="7"/>
        <v>Wert zu hoch</v>
      </c>
      <c r="AC158" s="211"/>
    </row>
    <row r="159" spans="1:29" s="270" customFormat="1" ht="18.649999999999999" customHeight="1" x14ac:dyDescent="0.45">
      <c r="A159" s="273"/>
      <c r="B159" s="274">
        <v>24</v>
      </c>
      <c r="C159" s="274">
        <v>13</v>
      </c>
      <c r="D159" s="274"/>
      <c r="E159" s="275"/>
      <c r="F159" s="275"/>
      <c r="G159" s="276">
        <f t="shared" si="43"/>
        <v>37</v>
      </c>
      <c r="H159" s="277">
        <f t="shared" si="8"/>
        <v>0.64864864864864868</v>
      </c>
      <c r="I159" s="277">
        <f t="shared" si="9"/>
        <v>0.35135135135135137</v>
      </c>
      <c r="J159" s="277">
        <f t="shared" si="10"/>
        <v>0</v>
      </c>
      <c r="K159" s="277">
        <f t="shared" si="11"/>
        <v>0</v>
      </c>
      <c r="L159" s="277">
        <f t="shared" si="12"/>
        <v>0</v>
      </c>
      <c r="M159" s="278">
        <f t="shared" si="44"/>
        <v>0.14864864864864868</v>
      </c>
      <c r="N159" s="278">
        <f t="shared" si="45"/>
        <v>0.14864864864864863</v>
      </c>
      <c r="O159" s="278" t="str">
        <f t="shared" si="46"/>
        <v>0</v>
      </c>
      <c r="P159" s="278" t="str">
        <f t="shared" si="47"/>
        <v>0</v>
      </c>
      <c r="Q159" s="278" t="str">
        <f t="shared" si="48"/>
        <v>0</v>
      </c>
      <c r="R159" s="328">
        <f t="shared" si="18"/>
        <v>0.29729729729729731</v>
      </c>
      <c r="S159" s="326">
        <f t="shared" si="19"/>
        <v>0.28999999999999998</v>
      </c>
      <c r="T159" s="279" t="str">
        <f t="shared" si="7"/>
        <v>&lt;=0,46</v>
      </c>
      <c r="AC159" s="211"/>
    </row>
    <row r="160" spans="1:29" s="270" customFormat="1" ht="18.649999999999999" customHeight="1" x14ac:dyDescent="0.45">
      <c r="A160" s="273"/>
      <c r="B160" s="274">
        <v>24</v>
      </c>
      <c r="C160" s="274">
        <v>11</v>
      </c>
      <c r="D160" s="274"/>
      <c r="E160" s="275"/>
      <c r="F160" s="275"/>
      <c r="G160" s="276">
        <f t="shared" ref="G160" si="49">SUM(B160:F160)</f>
        <v>35</v>
      </c>
      <c r="H160" s="277">
        <f t="shared" si="8"/>
        <v>0.68571428571428572</v>
      </c>
      <c r="I160" s="277">
        <f t="shared" si="9"/>
        <v>0.31428571428571428</v>
      </c>
      <c r="J160" s="277">
        <f t="shared" si="10"/>
        <v>0</v>
      </c>
      <c r="K160" s="277">
        <f t="shared" si="11"/>
        <v>0</v>
      </c>
      <c r="L160" s="277">
        <f t="shared" si="12"/>
        <v>0</v>
      </c>
      <c r="M160" s="278">
        <f t="shared" ref="M160" si="50">IF(B160=0,"0",ABS(1/COUNTIF(B160:F160,"&gt;0")-H160))</f>
        <v>0.18571428571428572</v>
      </c>
      <c r="N160" s="278">
        <f t="shared" ref="N160" si="51">IF(C160=0,"0",ABS(1/COUNTIF(B160:F160,"&gt;0")-I160))</f>
        <v>0.18571428571428572</v>
      </c>
      <c r="O160" s="278" t="str">
        <f t="shared" ref="O160" si="52">IF(D160=0,"0",ABS(1/COUNTIF(B160:F160,"&gt;0")-J160))</f>
        <v>0</v>
      </c>
      <c r="P160" s="278" t="str">
        <f t="shared" ref="P160" si="53">IF(E160=0,"0",ABS(1/COUNTIF(B160:F160,"&gt;0")-K160))</f>
        <v>0</v>
      </c>
      <c r="Q160" s="278" t="str">
        <f t="shared" ref="Q160" si="54">IF(F160=0,"0",ABS(1/COUNTIF(B160:F160,"&gt;0")-L160))</f>
        <v>0</v>
      </c>
      <c r="R160" s="328">
        <f t="shared" si="18"/>
        <v>0.37142857142857144</v>
      </c>
      <c r="S160" s="326">
        <f t="shared" si="19"/>
        <v>0.37</v>
      </c>
      <c r="T160" s="279" t="str">
        <f t="shared" si="7"/>
        <v>&lt;=0,46</v>
      </c>
      <c r="AC160" s="211"/>
    </row>
    <row r="161" spans="1:29" s="270" customFormat="1" ht="18.5" x14ac:dyDescent="0.45">
      <c r="A161" s="273"/>
      <c r="B161" s="274">
        <v>25</v>
      </c>
      <c r="C161" s="274">
        <v>12</v>
      </c>
      <c r="D161" s="274"/>
      <c r="E161" s="275"/>
      <c r="F161" s="275"/>
      <c r="G161" s="276">
        <f t="shared" si="43"/>
        <v>37</v>
      </c>
      <c r="H161" s="277">
        <f t="shared" si="8"/>
        <v>0.67567567567567566</v>
      </c>
      <c r="I161" s="277">
        <f t="shared" si="9"/>
        <v>0.32432432432432434</v>
      </c>
      <c r="J161" s="277">
        <f t="shared" si="10"/>
        <v>0</v>
      </c>
      <c r="K161" s="277">
        <f t="shared" si="11"/>
        <v>0</v>
      </c>
      <c r="L161" s="277">
        <f t="shared" si="12"/>
        <v>0</v>
      </c>
      <c r="M161" s="278">
        <f t="shared" si="44"/>
        <v>0.17567567567567566</v>
      </c>
      <c r="N161" s="278">
        <f t="shared" si="45"/>
        <v>0.17567567567567566</v>
      </c>
      <c r="O161" s="278" t="str">
        <f t="shared" si="46"/>
        <v>0</v>
      </c>
      <c r="P161" s="278" t="str">
        <f t="shared" si="47"/>
        <v>0</v>
      </c>
      <c r="Q161" s="278" t="str">
        <f t="shared" si="48"/>
        <v>0</v>
      </c>
      <c r="R161" s="328">
        <f t="shared" si="18"/>
        <v>0.35135135135135132</v>
      </c>
      <c r="S161" s="326">
        <f t="shared" si="19"/>
        <v>0.35</v>
      </c>
      <c r="T161" s="279" t="str">
        <f t="shared" si="7"/>
        <v>&lt;=0,46</v>
      </c>
      <c r="AC161" s="211"/>
    </row>
    <row r="162" spans="1:29" s="270" customFormat="1" ht="18.5" x14ac:dyDescent="0.45">
      <c r="A162" s="273"/>
      <c r="B162" s="274">
        <v>28</v>
      </c>
      <c r="C162" s="274">
        <v>9</v>
      </c>
      <c r="D162" s="274"/>
      <c r="E162" s="275"/>
      <c r="F162" s="275"/>
      <c r="G162" s="276">
        <f t="shared" si="43"/>
        <v>37</v>
      </c>
      <c r="H162" s="277">
        <f t="shared" si="8"/>
        <v>0.7567567567567568</v>
      </c>
      <c r="I162" s="277">
        <f t="shared" si="9"/>
        <v>0.24324324324324326</v>
      </c>
      <c r="J162" s="277">
        <f t="shared" si="10"/>
        <v>0</v>
      </c>
      <c r="K162" s="277">
        <f t="shared" si="11"/>
        <v>0</v>
      </c>
      <c r="L162" s="277">
        <f t="shared" si="12"/>
        <v>0</v>
      </c>
      <c r="M162" s="278">
        <f t="shared" si="44"/>
        <v>0.2567567567567568</v>
      </c>
      <c r="N162" s="278">
        <f t="shared" si="45"/>
        <v>0.25675675675675674</v>
      </c>
      <c r="O162" s="278" t="str">
        <f t="shared" si="46"/>
        <v>0</v>
      </c>
      <c r="P162" s="278" t="str">
        <f t="shared" si="47"/>
        <v>0</v>
      </c>
      <c r="Q162" s="278" t="str">
        <f t="shared" si="48"/>
        <v>0</v>
      </c>
      <c r="R162" s="328">
        <f t="shared" si="18"/>
        <v>0.5135135135135136</v>
      </c>
      <c r="S162" s="326">
        <f t="shared" si="19"/>
        <v>0.51</v>
      </c>
      <c r="T162" s="279" t="str">
        <f t="shared" si="7"/>
        <v>Wert zu hoch</v>
      </c>
      <c r="AC162" s="211"/>
    </row>
    <row r="163" spans="1:29" s="270" customFormat="1" ht="18.5" x14ac:dyDescent="0.45">
      <c r="A163" s="273"/>
      <c r="B163" s="274"/>
      <c r="C163" s="274">
        <v>17</v>
      </c>
      <c r="D163" s="274">
        <v>20</v>
      </c>
      <c r="E163" s="275"/>
      <c r="F163" s="275"/>
      <c r="G163" s="276">
        <f t="shared" si="43"/>
        <v>37</v>
      </c>
      <c r="H163" s="277">
        <f t="shared" si="8"/>
        <v>0</v>
      </c>
      <c r="I163" s="277">
        <f t="shared" si="9"/>
        <v>0.45945945945945948</v>
      </c>
      <c r="J163" s="277">
        <f t="shared" si="10"/>
        <v>0.54054054054054057</v>
      </c>
      <c r="K163" s="277">
        <f t="shared" si="11"/>
        <v>0</v>
      </c>
      <c r="L163" s="277">
        <f t="shared" si="12"/>
        <v>0</v>
      </c>
      <c r="M163" s="278" t="str">
        <f t="shared" si="44"/>
        <v>0</v>
      </c>
      <c r="N163" s="278">
        <f t="shared" si="45"/>
        <v>4.0540540540540515E-2</v>
      </c>
      <c r="O163" s="278">
        <f t="shared" si="46"/>
        <v>4.0540540540540571E-2</v>
      </c>
      <c r="P163" s="278" t="str">
        <f t="shared" si="47"/>
        <v>0</v>
      </c>
      <c r="Q163" s="278" t="str">
        <f t="shared" si="48"/>
        <v>0</v>
      </c>
      <c r="R163" s="328">
        <f t="shared" si="18"/>
        <v>8.1081081081081086E-2</v>
      </c>
      <c r="S163" s="326">
        <f t="shared" si="19"/>
        <v>0.08</v>
      </c>
      <c r="T163" s="279" t="str">
        <f t="shared" si="7"/>
        <v>&lt;=0,46</v>
      </c>
      <c r="AC163" s="211"/>
    </row>
    <row r="164" spans="1:29" ht="18.5" x14ac:dyDescent="0.45">
      <c r="A164" s="273"/>
      <c r="B164" s="274"/>
      <c r="C164" s="274"/>
      <c r="D164" s="274"/>
      <c r="E164" s="275"/>
      <c r="F164" s="275"/>
      <c r="G164" s="276">
        <f t="shared" si="43"/>
        <v>0</v>
      </c>
      <c r="H164" s="277" t="e">
        <f t="shared" si="8"/>
        <v>#DIV/0!</v>
      </c>
      <c r="I164" s="277" t="e">
        <f t="shared" si="9"/>
        <v>#DIV/0!</v>
      </c>
      <c r="J164" s="277" t="e">
        <f t="shared" si="10"/>
        <v>#DIV/0!</v>
      </c>
      <c r="K164" s="277" t="e">
        <f t="shared" si="11"/>
        <v>#DIV/0!</v>
      </c>
      <c r="L164" s="277" t="e">
        <f t="shared" si="12"/>
        <v>#DIV/0!</v>
      </c>
      <c r="M164" s="278" t="str">
        <f t="shared" si="44"/>
        <v>0</v>
      </c>
      <c r="N164" s="278" t="str">
        <f t="shared" si="45"/>
        <v>0</v>
      </c>
      <c r="O164" s="278" t="str">
        <f t="shared" si="46"/>
        <v>0</v>
      </c>
      <c r="P164" s="278" t="str">
        <f t="shared" si="47"/>
        <v>0</v>
      </c>
      <c r="Q164" s="278" t="str">
        <f t="shared" si="48"/>
        <v>0</v>
      </c>
      <c r="R164" s="328">
        <f t="shared" si="18"/>
        <v>0</v>
      </c>
      <c r="S164" s="326">
        <f t="shared" si="19"/>
        <v>0</v>
      </c>
      <c r="T164" s="279" t="str">
        <f t="shared" si="7"/>
        <v>&lt;=0,46</v>
      </c>
    </row>
    <row r="165" spans="1:29" ht="18.5" x14ac:dyDescent="0.45">
      <c r="A165" s="273"/>
      <c r="B165" s="274"/>
      <c r="C165" s="274"/>
      <c r="D165" s="274"/>
      <c r="E165" s="275"/>
      <c r="F165" s="275"/>
      <c r="G165" s="276">
        <f t="shared" si="43"/>
        <v>0</v>
      </c>
      <c r="H165" s="277" t="e">
        <f t="shared" si="8"/>
        <v>#DIV/0!</v>
      </c>
      <c r="I165" s="277" t="e">
        <f t="shared" si="9"/>
        <v>#DIV/0!</v>
      </c>
      <c r="J165" s="277" t="e">
        <f t="shared" si="10"/>
        <v>#DIV/0!</v>
      </c>
      <c r="K165" s="277" t="e">
        <f t="shared" si="11"/>
        <v>#DIV/0!</v>
      </c>
      <c r="L165" s="277" t="e">
        <f t="shared" si="12"/>
        <v>#DIV/0!</v>
      </c>
      <c r="M165" s="278" t="str">
        <f t="shared" si="44"/>
        <v>0</v>
      </c>
      <c r="N165" s="278" t="str">
        <f t="shared" si="45"/>
        <v>0</v>
      </c>
      <c r="O165" s="278" t="str">
        <f t="shared" si="46"/>
        <v>0</v>
      </c>
      <c r="P165" s="278" t="str">
        <f t="shared" si="47"/>
        <v>0</v>
      </c>
      <c r="Q165" s="278" t="str">
        <f t="shared" si="48"/>
        <v>0</v>
      </c>
      <c r="R165" s="328">
        <f t="shared" si="18"/>
        <v>0</v>
      </c>
      <c r="S165" s="326">
        <f t="shared" si="19"/>
        <v>0</v>
      </c>
      <c r="T165" s="279" t="str">
        <f t="shared" si="7"/>
        <v>&lt;=0,46</v>
      </c>
    </row>
    <row r="166" spans="1:29" ht="19" thickBot="1" x14ac:dyDescent="0.5">
      <c r="A166" s="280"/>
      <c r="B166" s="274"/>
      <c r="C166" s="274"/>
      <c r="D166" s="274"/>
      <c r="E166" s="275"/>
      <c r="F166" s="275"/>
      <c r="G166" s="276">
        <f t="shared" si="43"/>
        <v>0</v>
      </c>
      <c r="H166" s="277" t="e">
        <f t="shared" si="8"/>
        <v>#DIV/0!</v>
      </c>
      <c r="I166" s="277" t="e">
        <f t="shared" si="9"/>
        <v>#DIV/0!</v>
      </c>
      <c r="J166" s="277" t="e">
        <f t="shared" si="10"/>
        <v>#DIV/0!</v>
      </c>
      <c r="K166" s="277" t="e">
        <f t="shared" si="11"/>
        <v>#DIV/0!</v>
      </c>
      <c r="L166" s="277" t="e">
        <f t="shared" si="12"/>
        <v>#DIV/0!</v>
      </c>
      <c r="M166" s="278" t="str">
        <f t="shared" si="44"/>
        <v>0</v>
      </c>
      <c r="N166" s="278" t="str">
        <f t="shared" si="45"/>
        <v>0</v>
      </c>
      <c r="O166" s="278" t="str">
        <f t="shared" si="46"/>
        <v>0</v>
      </c>
      <c r="P166" s="278" t="str">
        <f t="shared" si="47"/>
        <v>0</v>
      </c>
      <c r="Q166" s="278" t="str">
        <f t="shared" si="48"/>
        <v>0</v>
      </c>
      <c r="R166" s="328">
        <f t="shared" si="18"/>
        <v>0</v>
      </c>
      <c r="S166" s="326">
        <f t="shared" si="19"/>
        <v>0</v>
      </c>
      <c r="T166" s="279" t="str">
        <f t="shared" si="7"/>
        <v>&lt;=0,46</v>
      </c>
    </row>
  </sheetData>
  <sheetProtection algorithmName="SHA-512" hashValue="i4ZF3MwfrRHXCEQ1qQ4688nGjvkIw/cw9lXJWur29Dhf3yKkVwlPzzNRoZWtcrR95aW24jqS0AX2LraHaGMarg==" saltValue="UGPrGCQUcH+5MdclvZT2jg==" spinCount="100000" sheet="1" selectLockedCells="1"/>
  <conditionalFormatting sqref="AD9">
    <cfRule type="cellIs" dxfId="15" priority="6" operator="equal">
      <formula>"ODER($G$2;$AA$2)"</formula>
    </cfRule>
  </conditionalFormatting>
  <conditionalFormatting sqref="R132">
    <cfRule type="cellIs" dxfId="14" priority="3" operator="greaterThan">
      <formula>$T$133</formula>
    </cfRule>
  </conditionalFormatting>
  <conditionalFormatting sqref="R133:R166">
    <cfRule type="cellIs" dxfId="13" priority="2" operator="greaterThan">
      <formula>$T$132</formula>
    </cfRule>
    <cfRule type="expression" dxfId="12" priority="1">
      <formula>"&lt;=$T$132"</formula>
    </cfRule>
  </conditionalFormatting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zoomScale="55" zoomScaleNormal="55" workbookViewId="0">
      <selection activeCell="O40" sqref="O40:AB44"/>
    </sheetView>
  </sheetViews>
  <sheetFormatPr baseColWidth="10" defaultRowHeight="14.5" x14ac:dyDescent="0.35"/>
  <cols>
    <col min="1" max="4" width="5" customWidth="1"/>
    <col min="5" max="5" width="4" customWidth="1"/>
    <col min="6" max="6" width="4.6328125" customWidth="1"/>
    <col min="7" max="10" width="5.6328125" customWidth="1"/>
    <col min="11" max="16" width="5.90625" customWidth="1"/>
    <col min="17" max="18" width="5.08984375" customWidth="1"/>
    <col min="19" max="19" width="6.08984375" customWidth="1"/>
    <col min="20" max="22" width="5" customWidth="1"/>
    <col min="23" max="23" width="5.36328125" customWidth="1"/>
  </cols>
  <sheetData>
    <row r="1" spans="1:29" x14ac:dyDescent="0.35">
      <c r="A1" s="281" t="s">
        <v>235</v>
      </c>
      <c r="B1" s="305"/>
      <c r="C1" s="305"/>
      <c r="D1" s="305"/>
      <c r="E1" s="305"/>
      <c r="F1" s="305"/>
      <c r="G1" s="305"/>
      <c r="H1" s="305"/>
      <c r="I1" s="305"/>
      <c r="J1" s="305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8"/>
    </row>
    <row r="2" spans="1:29" x14ac:dyDescent="0.35">
      <c r="A2" s="306"/>
      <c r="B2" s="248"/>
      <c r="C2" s="248"/>
      <c r="D2" s="248"/>
      <c r="E2" s="248"/>
      <c r="F2" s="248"/>
      <c r="G2" s="248"/>
      <c r="H2" s="248"/>
      <c r="I2" s="248"/>
      <c r="J2" s="248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20"/>
    </row>
    <row r="3" spans="1:29" s="288" customFormat="1" ht="43.5" x14ac:dyDescent="0.35">
      <c r="A3" s="252" t="s">
        <v>233</v>
      </c>
      <c r="B3" s="254" t="s">
        <v>230</v>
      </c>
      <c r="C3" s="254" t="s">
        <v>229</v>
      </c>
      <c r="D3" s="254" t="s">
        <v>231</v>
      </c>
      <c r="E3" s="254"/>
      <c r="F3" s="254"/>
      <c r="G3" s="254" t="s">
        <v>233</v>
      </c>
      <c r="H3" s="254" t="s">
        <v>230</v>
      </c>
      <c r="I3" s="254" t="s">
        <v>229</v>
      </c>
      <c r="J3" s="254" t="s">
        <v>231</v>
      </c>
      <c r="K3" s="321"/>
      <c r="L3" s="321"/>
      <c r="M3" s="254" t="s">
        <v>233</v>
      </c>
      <c r="N3" s="254" t="s">
        <v>230</v>
      </c>
      <c r="O3" s="254" t="s">
        <v>229</v>
      </c>
      <c r="P3" s="254" t="s">
        <v>231</v>
      </c>
      <c r="Q3" s="321"/>
      <c r="R3" s="254"/>
      <c r="S3" s="254"/>
      <c r="T3" s="254" t="s">
        <v>233</v>
      </c>
      <c r="U3" s="254" t="s">
        <v>230</v>
      </c>
      <c r="V3" s="254" t="s">
        <v>229</v>
      </c>
      <c r="W3" s="254" t="s">
        <v>231</v>
      </c>
      <c r="X3" s="321"/>
      <c r="Y3" s="321"/>
      <c r="Z3" s="254" t="s">
        <v>233</v>
      </c>
      <c r="AA3" s="254" t="s">
        <v>230</v>
      </c>
      <c r="AB3" s="254" t="s">
        <v>229</v>
      </c>
      <c r="AC3" s="255" t="s">
        <v>231</v>
      </c>
    </row>
    <row r="4" spans="1:29" x14ac:dyDescent="0.35">
      <c r="A4" s="307" t="str">
        <f>IF('Ihr Studienplan'!H11&lt;&gt;"",'Ihr Studienplan'!H11,"")</f>
        <v/>
      </c>
      <c r="B4" s="285" t="str">
        <f>IF(AND('Ihr Studienplan'!H11&gt;=1,'Ihr Studienplan'!H11&lt;=4),'Ihr Studienplan'!F11,"")</f>
        <v/>
      </c>
      <c r="C4" s="308" t="str">
        <f>IF(A4="P",'Ihr Studienplan'!F11,"")</f>
        <v/>
      </c>
      <c r="D4" s="308" t="str">
        <f t="shared" ref="D4:D27" si="0">IF(OR(A4="",A4="P"),"",A4*B4)</f>
        <v/>
      </c>
      <c r="E4" s="248"/>
      <c r="F4" s="243"/>
      <c r="G4" s="243" t="str">
        <f>IF('Ihr Studienplan'!N11&lt;&gt;"",'Ihr Studienplan'!N11,"")</f>
        <v/>
      </c>
      <c r="H4" s="285" t="str">
        <f>IF(AND('Ihr Studienplan'!N11&gt;=1,'Ihr Studienplan'!N11&lt;=4),'Ihr Studienplan'!L11,"")</f>
        <v/>
      </c>
      <c r="I4" s="308" t="str">
        <f>IF(G4="P",'Ihr Studienplan'!L11,"")</f>
        <v/>
      </c>
      <c r="J4" s="308" t="str">
        <f t="shared" ref="J4:J27" si="1">IF(OR(G4="",G4="P"),"",G4*H4)</f>
        <v/>
      </c>
      <c r="K4" s="319"/>
      <c r="L4" s="319"/>
      <c r="M4" s="243" t="str">
        <f>IF('Ihr Studienplan'!T11&lt;&gt;"",'Ihr Studienplan'!T11,"")</f>
        <v/>
      </c>
      <c r="N4" s="285" t="str">
        <f>IF(AND('Ihr Studienplan'!T11&gt;=1,'Ihr Studienplan'!T11&lt;=4),'Ihr Studienplan'!R11,"")</f>
        <v/>
      </c>
      <c r="O4" s="308" t="str">
        <f>IF(M4="P",'Ihr Studienplan'!R11,"")</f>
        <v/>
      </c>
      <c r="P4" s="308" t="str">
        <f t="shared" ref="P4:P27" si="2">IF(OR(M4="",M4="P"),"",M4*N4)</f>
        <v/>
      </c>
      <c r="Q4" s="319"/>
      <c r="R4" s="319"/>
      <c r="S4" s="243" t="str">
        <f>IF('Ihr Studienplan'!Z11&lt;&gt;"",'Ihr Studienplan'!Z11,"")</f>
        <v/>
      </c>
      <c r="T4" s="243" t="str">
        <f>IF('Ihr Studienplan'!AA11&lt;&gt;"",'Ihr Studienplan'!AA11,"")</f>
        <v/>
      </c>
      <c r="U4" s="285" t="str">
        <f>IF(AND('Ihr Studienplan'!AA11&gt;=1,'Ihr Studienplan'!AA11&lt;=4),'Ihr Studienplan'!Y11,"")</f>
        <v/>
      </c>
      <c r="V4" s="308" t="str">
        <f>IF(T4="P",'Ihr Studienplan'!Y11,"")</f>
        <v/>
      </c>
      <c r="W4" s="308" t="str">
        <f t="shared" ref="W4:W27" si="3">IF(OR(T4="",T4="P"),"",T4*U4)</f>
        <v/>
      </c>
      <c r="X4" s="319"/>
      <c r="Y4" s="319"/>
      <c r="Z4" s="319"/>
      <c r="AA4" s="319"/>
      <c r="AB4" s="319"/>
      <c r="AC4" s="320"/>
    </row>
    <row r="5" spans="1:29" x14ac:dyDescent="0.35">
      <c r="A5" s="307" t="str">
        <f>IF('Ihr Studienplan'!H12&lt;&gt;"",'Ihr Studienplan'!H12,"")</f>
        <v/>
      </c>
      <c r="B5" s="285" t="str">
        <f>IF(AND('Ihr Studienplan'!H12&gt;=1,'Ihr Studienplan'!H12&lt;=4),'Ihr Studienplan'!F12,"")</f>
        <v/>
      </c>
      <c r="C5" s="308" t="str">
        <f>IF(A5="P",'Ihr Studienplan'!F12,"")</f>
        <v/>
      </c>
      <c r="D5" s="308" t="str">
        <f t="shared" si="0"/>
        <v/>
      </c>
      <c r="E5" s="248"/>
      <c r="F5" s="243"/>
      <c r="G5" s="243" t="str">
        <f>IF('Ihr Studienplan'!N12&lt;&gt;"",'Ihr Studienplan'!N12,"")</f>
        <v/>
      </c>
      <c r="H5" s="285" t="str">
        <f>IF(AND('Ihr Studienplan'!N12&gt;=1,'Ihr Studienplan'!N12&lt;=4),'Ihr Studienplan'!L12,"")</f>
        <v/>
      </c>
      <c r="I5" s="308" t="str">
        <f>IF(G5="P",'Ihr Studienplan'!L12,"")</f>
        <v/>
      </c>
      <c r="J5" s="308" t="str">
        <f t="shared" si="1"/>
        <v/>
      </c>
      <c r="K5" s="319"/>
      <c r="L5" s="319"/>
      <c r="M5" s="243" t="str">
        <f>IF('Ihr Studienplan'!T12&lt;&gt;"",'Ihr Studienplan'!T12,"")</f>
        <v/>
      </c>
      <c r="N5" s="285" t="str">
        <f>IF(AND('Ihr Studienplan'!T12&gt;=1,'Ihr Studienplan'!T12&lt;=4),'Ihr Studienplan'!R12,"")</f>
        <v/>
      </c>
      <c r="O5" s="308" t="str">
        <f>IF(M5="P",'Ihr Studienplan'!R12,"")</f>
        <v/>
      </c>
      <c r="P5" s="308" t="str">
        <f t="shared" si="2"/>
        <v/>
      </c>
      <c r="Q5" s="319"/>
      <c r="R5" s="319"/>
      <c r="S5" s="243" t="str">
        <f>IF('Ihr Studienplan'!Z12&lt;&gt;"",'Ihr Studienplan'!Z12,"")</f>
        <v/>
      </c>
      <c r="T5" s="243" t="str">
        <f>IF('Ihr Studienplan'!AA12&lt;&gt;"",'Ihr Studienplan'!AA12,"")</f>
        <v/>
      </c>
      <c r="U5" s="285" t="str">
        <f>IF(AND('Ihr Studienplan'!AA12&gt;=1,'Ihr Studienplan'!AA12&lt;=4),'Ihr Studienplan'!Y12,"")</f>
        <v/>
      </c>
      <c r="V5" s="308" t="str">
        <f>IF(T5="P",'Ihr Studienplan'!Y12,"")</f>
        <v/>
      </c>
      <c r="W5" s="308" t="str">
        <f t="shared" si="3"/>
        <v/>
      </c>
      <c r="X5" s="319"/>
      <c r="Y5" s="319"/>
      <c r="Z5" s="319"/>
      <c r="AA5" s="319"/>
      <c r="AB5" s="319"/>
      <c r="AC5" s="320"/>
    </row>
    <row r="6" spans="1:29" x14ac:dyDescent="0.35">
      <c r="A6" s="307" t="str">
        <f>IF('Ihr Studienplan'!H13&lt;&gt;"",'Ihr Studienplan'!H13,"")</f>
        <v/>
      </c>
      <c r="B6" s="285" t="str">
        <f>IF(AND('Ihr Studienplan'!H13&gt;=1,'Ihr Studienplan'!H13&lt;=4),'Ihr Studienplan'!F13,"")</f>
        <v/>
      </c>
      <c r="C6" s="308" t="str">
        <f>IF(A6="P",'Ihr Studienplan'!F13,"")</f>
        <v/>
      </c>
      <c r="D6" s="308" t="str">
        <f t="shared" si="0"/>
        <v/>
      </c>
      <c r="E6" s="248"/>
      <c r="F6" s="243"/>
      <c r="G6" s="243" t="str">
        <f>IF('Ihr Studienplan'!N13&lt;&gt;"",'Ihr Studienplan'!N13,"")</f>
        <v/>
      </c>
      <c r="H6" s="285" t="str">
        <f>IF(AND('Ihr Studienplan'!N13&gt;=1,'Ihr Studienplan'!N13&lt;=4),'Ihr Studienplan'!L13,"")</f>
        <v/>
      </c>
      <c r="I6" s="308" t="str">
        <f>IF(G6="P",'Ihr Studienplan'!L13,"")</f>
        <v/>
      </c>
      <c r="J6" s="308" t="str">
        <f t="shared" si="1"/>
        <v/>
      </c>
      <c r="K6" s="319"/>
      <c r="L6" s="319"/>
      <c r="M6" s="243" t="str">
        <f>IF('Ihr Studienplan'!T13&lt;&gt;"",'Ihr Studienplan'!T13,"")</f>
        <v/>
      </c>
      <c r="N6" s="285" t="str">
        <f>IF(AND('Ihr Studienplan'!T13&gt;=1,'Ihr Studienplan'!T13&lt;=4),'Ihr Studienplan'!R13,"")</f>
        <v/>
      </c>
      <c r="O6" s="308" t="str">
        <f>IF(M6="P",'Ihr Studienplan'!R13,"")</f>
        <v/>
      </c>
      <c r="P6" s="308" t="str">
        <f t="shared" si="2"/>
        <v/>
      </c>
      <c r="Q6" s="319"/>
      <c r="R6" s="319"/>
      <c r="S6" s="243" t="str">
        <f>IF('Ihr Studienplan'!Z13&lt;&gt;"",'Ihr Studienplan'!Z13,"")</f>
        <v/>
      </c>
      <c r="T6" s="243" t="str">
        <f>IF('Ihr Studienplan'!AA13&lt;&gt;"",'Ihr Studienplan'!AA13,"")</f>
        <v/>
      </c>
      <c r="U6" s="285" t="str">
        <f>IF(AND('Ihr Studienplan'!AA13&gt;=1,'Ihr Studienplan'!AA13&lt;=4),'Ihr Studienplan'!Y13,"")</f>
        <v/>
      </c>
      <c r="V6" s="308" t="str">
        <f>IF(T6="P",'Ihr Studienplan'!Y13,"")</f>
        <v/>
      </c>
      <c r="W6" s="308" t="str">
        <f t="shared" si="3"/>
        <v/>
      </c>
      <c r="X6" s="319"/>
      <c r="Y6" s="319"/>
      <c r="Z6" s="319"/>
      <c r="AA6" s="319"/>
      <c r="AB6" s="319"/>
      <c r="AC6" s="320"/>
    </row>
    <row r="7" spans="1:29" x14ac:dyDescent="0.35">
      <c r="A7" s="307" t="str">
        <f>IF('Ihr Studienplan'!H14&lt;&gt;"",'Ihr Studienplan'!H14,"")</f>
        <v/>
      </c>
      <c r="B7" s="285" t="str">
        <f>IF(AND('Ihr Studienplan'!H14&gt;=1,'Ihr Studienplan'!H14&lt;=4),'Ihr Studienplan'!F14,"")</f>
        <v/>
      </c>
      <c r="C7" s="308" t="str">
        <f>IF(A7="P",'Ihr Studienplan'!F14,"")</f>
        <v/>
      </c>
      <c r="D7" s="308" t="str">
        <f t="shared" si="0"/>
        <v/>
      </c>
      <c r="E7" s="248"/>
      <c r="F7" s="243"/>
      <c r="G7" s="243" t="str">
        <f>IF('Ihr Studienplan'!N14&lt;&gt;"",'Ihr Studienplan'!N14,"")</f>
        <v/>
      </c>
      <c r="H7" s="285" t="str">
        <f>IF(AND('Ihr Studienplan'!N14&gt;=1,'Ihr Studienplan'!N14&lt;=4),'Ihr Studienplan'!L14,"")</f>
        <v/>
      </c>
      <c r="I7" s="308" t="str">
        <f>IF(G7="P",'Ihr Studienplan'!L14,"")</f>
        <v/>
      </c>
      <c r="J7" s="308" t="str">
        <f t="shared" si="1"/>
        <v/>
      </c>
      <c r="K7" s="319"/>
      <c r="L7" s="319"/>
      <c r="M7" s="243" t="str">
        <f>IF('Ihr Studienplan'!T14&lt;&gt;"",'Ihr Studienplan'!T14,"")</f>
        <v/>
      </c>
      <c r="N7" s="285" t="str">
        <f>IF(AND('Ihr Studienplan'!T14&gt;=1,'Ihr Studienplan'!T14&lt;=4),'Ihr Studienplan'!R14,"")</f>
        <v/>
      </c>
      <c r="O7" s="308" t="str">
        <f>IF(M7="P",'Ihr Studienplan'!R14,"")</f>
        <v/>
      </c>
      <c r="P7" s="308" t="str">
        <f t="shared" si="2"/>
        <v/>
      </c>
      <c r="Q7" s="319"/>
      <c r="R7" s="319"/>
      <c r="S7" s="243" t="str">
        <f>IF('Ihr Studienplan'!Z14&lt;&gt;"",'Ihr Studienplan'!Z14,"")</f>
        <v/>
      </c>
      <c r="T7" s="243" t="str">
        <f>IF('Ihr Studienplan'!AA14&lt;&gt;"",'Ihr Studienplan'!AA14,"")</f>
        <v/>
      </c>
      <c r="U7" s="285" t="str">
        <f>IF(AND('Ihr Studienplan'!AA14&gt;=1,'Ihr Studienplan'!AA14&lt;=4),'Ihr Studienplan'!Y14,"")</f>
        <v/>
      </c>
      <c r="V7" s="308" t="str">
        <f>IF(T7="P",'Ihr Studienplan'!Y14,"")</f>
        <v/>
      </c>
      <c r="W7" s="308" t="str">
        <f t="shared" si="3"/>
        <v/>
      </c>
      <c r="X7" s="319"/>
      <c r="Y7" s="319"/>
      <c r="Z7" s="319"/>
      <c r="AA7" s="319"/>
      <c r="AB7" s="319"/>
      <c r="AC7" s="320"/>
    </row>
    <row r="8" spans="1:29" x14ac:dyDescent="0.35">
      <c r="A8" s="307" t="str">
        <f>IF('Ihr Studienplan'!H15&lt;&gt;"",'Ihr Studienplan'!H15,"")</f>
        <v/>
      </c>
      <c r="B8" s="285" t="str">
        <f>IF(AND('Ihr Studienplan'!H15&gt;=1,'Ihr Studienplan'!H15&lt;=4),'Ihr Studienplan'!F15,"")</f>
        <v/>
      </c>
      <c r="C8" s="308" t="str">
        <f>IF(A8="P",'Ihr Studienplan'!F15,"")</f>
        <v/>
      </c>
      <c r="D8" s="308" t="str">
        <f t="shared" si="0"/>
        <v/>
      </c>
      <c r="E8" s="248"/>
      <c r="F8" s="243"/>
      <c r="G8" s="243" t="str">
        <f>IF('Ihr Studienplan'!N15&lt;&gt;"",'Ihr Studienplan'!N15,"")</f>
        <v/>
      </c>
      <c r="H8" s="285" t="str">
        <f>IF(AND('Ihr Studienplan'!N15&gt;=1,'Ihr Studienplan'!N15&lt;=4),'Ihr Studienplan'!L15,"")</f>
        <v/>
      </c>
      <c r="I8" s="308" t="str">
        <f>IF(G8="P",'Ihr Studienplan'!L15,"")</f>
        <v/>
      </c>
      <c r="J8" s="308" t="str">
        <f t="shared" si="1"/>
        <v/>
      </c>
      <c r="K8" s="319"/>
      <c r="L8" s="319"/>
      <c r="M8" s="243" t="str">
        <f>IF('Ihr Studienplan'!T15&lt;&gt;"",'Ihr Studienplan'!T15,"")</f>
        <v/>
      </c>
      <c r="N8" s="285" t="str">
        <f>IF(AND('Ihr Studienplan'!T15&gt;=1,'Ihr Studienplan'!T15&lt;=4),'Ihr Studienplan'!R15,"")</f>
        <v/>
      </c>
      <c r="O8" s="308" t="str">
        <f>IF(M8="P",'Ihr Studienplan'!R15,"")</f>
        <v/>
      </c>
      <c r="P8" s="308" t="str">
        <f t="shared" si="2"/>
        <v/>
      </c>
      <c r="Q8" s="319"/>
      <c r="R8" s="319"/>
      <c r="S8" s="243" t="str">
        <f>IF('Ihr Studienplan'!Z15&lt;&gt;"",'Ihr Studienplan'!Z15,"")</f>
        <v/>
      </c>
      <c r="T8" s="243" t="str">
        <f>IF('Ihr Studienplan'!AA15&lt;&gt;"",'Ihr Studienplan'!AA15,"")</f>
        <v/>
      </c>
      <c r="U8" s="285" t="str">
        <f>IF(AND('Ihr Studienplan'!AA15&gt;=1,'Ihr Studienplan'!AA15&lt;=4),'Ihr Studienplan'!Y15,"")</f>
        <v/>
      </c>
      <c r="V8" s="308" t="str">
        <f>IF(T8="P",'Ihr Studienplan'!Y15,"")</f>
        <v/>
      </c>
      <c r="W8" s="308" t="str">
        <f t="shared" si="3"/>
        <v/>
      </c>
      <c r="X8" s="319"/>
      <c r="Y8" s="319"/>
      <c r="Z8" s="319"/>
      <c r="AA8" s="319"/>
      <c r="AB8" s="319"/>
      <c r="AC8" s="320"/>
    </row>
    <row r="9" spans="1:29" x14ac:dyDescent="0.35">
      <c r="A9" s="307" t="str">
        <f>IF('Ihr Studienplan'!H16&lt;&gt;"",'Ihr Studienplan'!H16,"")</f>
        <v/>
      </c>
      <c r="B9" s="285" t="str">
        <f>IF(AND('Ihr Studienplan'!H16&gt;=1,'Ihr Studienplan'!H16&lt;=4),'Ihr Studienplan'!F16,"")</f>
        <v/>
      </c>
      <c r="C9" s="308" t="str">
        <f>IF(A9="P",'Ihr Studienplan'!F16,"")</f>
        <v/>
      </c>
      <c r="D9" s="308" t="str">
        <f t="shared" si="0"/>
        <v/>
      </c>
      <c r="E9" s="248"/>
      <c r="F9" s="243"/>
      <c r="G9" s="243" t="str">
        <f>IF('Ihr Studienplan'!N16&lt;&gt;"",'Ihr Studienplan'!N16,"")</f>
        <v/>
      </c>
      <c r="H9" s="285" t="str">
        <f>IF(AND('Ihr Studienplan'!N16&gt;=1,'Ihr Studienplan'!N16&lt;=4),'Ihr Studienplan'!L16,"")</f>
        <v/>
      </c>
      <c r="I9" s="308" t="str">
        <f>IF(G9="P",'Ihr Studienplan'!L16,"")</f>
        <v/>
      </c>
      <c r="J9" s="308" t="str">
        <f t="shared" si="1"/>
        <v/>
      </c>
      <c r="K9" s="319"/>
      <c r="L9" s="319"/>
      <c r="M9" s="243" t="str">
        <f>IF('Ihr Studienplan'!T16&lt;&gt;"",'Ihr Studienplan'!T16,"")</f>
        <v/>
      </c>
      <c r="N9" s="285" t="str">
        <f>IF(AND('Ihr Studienplan'!T16&gt;=1,'Ihr Studienplan'!T16&lt;=4),'Ihr Studienplan'!R16,"")</f>
        <v/>
      </c>
      <c r="O9" s="308" t="str">
        <f>IF(M9="P",'Ihr Studienplan'!R16,"")</f>
        <v/>
      </c>
      <c r="P9" s="308" t="str">
        <f t="shared" si="2"/>
        <v/>
      </c>
      <c r="Q9" s="319"/>
      <c r="R9" s="319"/>
      <c r="S9" s="243" t="str">
        <f>IF('Ihr Studienplan'!Z16&lt;&gt;"",'Ihr Studienplan'!Z16,"")</f>
        <v/>
      </c>
      <c r="T9" s="243" t="str">
        <f>IF('Ihr Studienplan'!AA16&lt;&gt;"",'Ihr Studienplan'!AA16,"")</f>
        <v/>
      </c>
      <c r="U9" s="285" t="str">
        <f>IF(AND('Ihr Studienplan'!AA16&gt;=1,'Ihr Studienplan'!AA16&lt;=4),'Ihr Studienplan'!Y16,"")</f>
        <v/>
      </c>
      <c r="V9" s="308" t="str">
        <f>IF(T9="P",'Ihr Studienplan'!Y16,"")</f>
        <v/>
      </c>
      <c r="W9" s="308" t="str">
        <f t="shared" si="3"/>
        <v/>
      </c>
      <c r="X9" s="319"/>
      <c r="Y9" s="319"/>
      <c r="Z9" s="319"/>
      <c r="AA9" s="319"/>
      <c r="AB9" s="319"/>
      <c r="AC9" s="320"/>
    </row>
    <row r="10" spans="1:29" x14ac:dyDescent="0.35">
      <c r="A10" s="307" t="str">
        <f>IF('Ihr Studienplan'!H17&lt;&gt;"",'Ihr Studienplan'!H17,"")</f>
        <v/>
      </c>
      <c r="B10" s="285" t="str">
        <f>IF(AND('Ihr Studienplan'!H17&gt;=1,'Ihr Studienplan'!H17&lt;=4),'Ihr Studienplan'!F17,"")</f>
        <v/>
      </c>
      <c r="C10" s="308" t="str">
        <f>IF(A10="P",'Ihr Studienplan'!F17,"")</f>
        <v/>
      </c>
      <c r="D10" s="308" t="str">
        <f t="shared" si="0"/>
        <v/>
      </c>
      <c r="E10" s="248"/>
      <c r="F10" s="243"/>
      <c r="G10" s="243" t="str">
        <f>IF('Ihr Studienplan'!N17&lt;&gt;"",'Ihr Studienplan'!N17,"")</f>
        <v/>
      </c>
      <c r="H10" s="285" t="str">
        <f>IF(AND('Ihr Studienplan'!N17&gt;=1,'Ihr Studienplan'!N17&lt;=4),'Ihr Studienplan'!L17,"")</f>
        <v/>
      </c>
      <c r="I10" s="308" t="str">
        <f>IF(G10="P",'Ihr Studienplan'!L17,"")</f>
        <v/>
      </c>
      <c r="J10" s="308" t="str">
        <f t="shared" si="1"/>
        <v/>
      </c>
      <c r="K10" s="319"/>
      <c r="L10" s="319"/>
      <c r="M10" s="243" t="str">
        <f>IF('Ihr Studienplan'!T17&lt;&gt;"",'Ihr Studienplan'!T17,"")</f>
        <v/>
      </c>
      <c r="N10" s="285" t="str">
        <f>IF(AND('Ihr Studienplan'!T17&gt;=1,'Ihr Studienplan'!T17&lt;=4),'Ihr Studienplan'!R17,"")</f>
        <v/>
      </c>
      <c r="O10" s="308" t="str">
        <f>IF(M10="P",'Ihr Studienplan'!R17,"")</f>
        <v/>
      </c>
      <c r="P10" s="308" t="str">
        <f t="shared" si="2"/>
        <v/>
      </c>
      <c r="Q10" s="319"/>
      <c r="R10" s="319"/>
      <c r="S10" s="243" t="str">
        <f>IF('Ihr Studienplan'!Z17&lt;&gt;"",'Ihr Studienplan'!Z17,"")</f>
        <v/>
      </c>
      <c r="T10" s="243" t="str">
        <f>IF('Ihr Studienplan'!AA17&lt;&gt;"",'Ihr Studienplan'!AA17,"")</f>
        <v/>
      </c>
      <c r="U10" s="285" t="str">
        <f>IF(AND('Ihr Studienplan'!AA17&gt;=1,'Ihr Studienplan'!AA17&lt;=4),'Ihr Studienplan'!Y17,"")</f>
        <v/>
      </c>
      <c r="V10" s="308" t="str">
        <f>IF(T10="P",'Ihr Studienplan'!Y17,"")</f>
        <v/>
      </c>
      <c r="W10" s="308" t="str">
        <f t="shared" si="3"/>
        <v/>
      </c>
      <c r="X10" s="319"/>
      <c r="Y10" s="319"/>
      <c r="Z10" s="319"/>
      <c r="AA10" s="319"/>
      <c r="AB10" s="319"/>
      <c r="AC10" s="320"/>
    </row>
    <row r="11" spans="1:29" x14ac:dyDescent="0.35">
      <c r="A11" s="307" t="str">
        <f>IF('Ihr Studienplan'!H18&lt;&gt;"",'Ihr Studienplan'!H18,"")</f>
        <v/>
      </c>
      <c r="B11" s="285" t="str">
        <f>IF(AND('Ihr Studienplan'!H18&gt;=1,'Ihr Studienplan'!H18&lt;=4),'Ihr Studienplan'!F18,"")</f>
        <v/>
      </c>
      <c r="C11" s="308" t="str">
        <f>IF(A11="P",'Ihr Studienplan'!F18,"")</f>
        <v/>
      </c>
      <c r="D11" s="308" t="str">
        <f t="shared" si="0"/>
        <v/>
      </c>
      <c r="E11" s="248"/>
      <c r="F11" s="243"/>
      <c r="G11" s="243" t="str">
        <f>IF('Ihr Studienplan'!N18&lt;&gt;"",'Ihr Studienplan'!N18,"")</f>
        <v/>
      </c>
      <c r="H11" s="285" t="str">
        <f>IF(AND('Ihr Studienplan'!N18&gt;=1,'Ihr Studienplan'!N18&lt;=4),'Ihr Studienplan'!L18,"")</f>
        <v/>
      </c>
      <c r="I11" s="308" t="str">
        <f>IF(G11="P",'Ihr Studienplan'!L18,"")</f>
        <v/>
      </c>
      <c r="J11" s="308" t="str">
        <f t="shared" si="1"/>
        <v/>
      </c>
      <c r="K11" s="319"/>
      <c r="L11" s="319"/>
      <c r="M11" s="243" t="str">
        <f>IF('Ihr Studienplan'!T18&lt;&gt;"",'Ihr Studienplan'!T18,"")</f>
        <v/>
      </c>
      <c r="N11" s="285" t="str">
        <f>IF(AND('Ihr Studienplan'!T18&gt;=1,'Ihr Studienplan'!T18&lt;=4),'Ihr Studienplan'!R18,"")</f>
        <v/>
      </c>
      <c r="O11" s="308" t="str">
        <f>IF(M11="P",'Ihr Studienplan'!R18,"")</f>
        <v/>
      </c>
      <c r="P11" s="308" t="str">
        <f t="shared" si="2"/>
        <v/>
      </c>
      <c r="Q11" s="319"/>
      <c r="R11" s="319"/>
      <c r="S11" s="243" t="str">
        <f>IF('Ihr Studienplan'!Z18&lt;&gt;"",'Ihr Studienplan'!Z18,"")</f>
        <v/>
      </c>
      <c r="T11" s="243" t="str">
        <f>IF('Ihr Studienplan'!AA18&lt;&gt;"",'Ihr Studienplan'!AA18,"")</f>
        <v/>
      </c>
      <c r="U11" s="285" t="str">
        <f>IF(AND('Ihr Studienplan'!AA18&gt;=1,'Ihr Studienplan'!AA18&lt;=4),'Ihr Studienplan'!Y18,"")</f>
        <v/>
      </c>
      <c r="V11" s="308" t="str">
        <f>IF(T11="P",'Ihr Studienplan'!Y18,"")</f>
        <v/>
      </c>
      <c r="W11" s="308" t="str">
        <f t="shared" si="3"/>
        <v/>
      </c>
      <c r="X11" s="319"/>
      <c r="Y11" s="319"/>
      <c r="Z11" s="319"/>
      <c r="AA11" s="319"/>
      <c r="AB11" s="319"/>
      <c r="AC11" s="320"/>
    </row>
    <row r="12" spans="1:29" x14ac:dyDescent="0.35">
      <c r="A12" s="307" t="str">
        <f>IF('Ihr Studienplan'!H19&lt;&gt;"",'Ihr Studienplan'!H19,"")</f>
        <v/>
      </c>
      <c r="B12" s="285" t="str">
        <f>IF(AND('Ihr Studienplan'!H19&gt;=1,'Ihr Studienplan'!H19&lt;=4),'Ihr Studienplan'!F19,"")</f>
        <v/>
      </c>
      <c r="C12" s="308" t="str">
        <f>IF(A12="P",'Ihr Studienplan'!F19,"")</f>
        <v/>
      </c>
      <c r="D12" s="308" t="str">
        <f t="shared" si="0"/>
        <v/>
      </c>
      <c r="E12" s="248"/>
      <c r="F12" s="243"/>
      <c r="G12" s="243" t="str">
        <f>IF('Ihr Studienplan'!N19&lt;&gt;"",'Ihr Studienplan'!N19,"")</f>
        <v/>
      </c>
      <c r="H12" s="285" t="str">
        <f>IF(AND('Ihr Studienplan'!N19&gt;=1,'Ihr Studienplan'!N19&lt;=4),'Ihr Studienplan'!L19,"")</f>
        <v/>
      </c>
      <c r="I12" s="308" t="str">
        <f>IF(G12="P",'Ihr Studienplan'!L19,"")</f>
        <v/>
      </c>
      <c r="J12" s="308" t="str">
        <f t="shared" si="1"/>
        <v/>
      </c>
      <c r="K12" s="319"/>
      <c r="L12" s="319"/>
      <c r="M12" s="243" t="str">
        <f>IF('Ihr Studienplan'!T19&lt;&gt;"",'Ihr Studienplan'!T19,"")</f>
        <v/>
      </c>
      <c r="N12" s="285" t="str">
        <f>IF(AND('Ihr Studienplan'!T19&gt;=1,'Ihr Studienplan'!T19&lt;=4),'Ihr Studienplan'!R19,"")</f>
        <v/>
      </c>
      <c r="O12" s="308" t="str">
        <f>IF(M12="P",'Ihr Studienplan'!R19,"")</f>
        <v/>
      </c>
      <c r="P12" s="308" t="str">
        <f t="shared" si="2"/>
        <v/>
      </c>
      <c r="Q12" s="319"/>
      <c r="R12" s="319"/>
      <c r="S12" s="243" t="str">
        <f>IF('Ihr Studienplan'!Z19&lt;&gt;"",'Ihr Studienplan'!Z19,"")</f>
        <v/>
      </c>
      <c r="T12" s="243" t="str">
        <f>IF('Ihr Studienplan'!AA19&lt;&gt;"",'Ihr Studienplan'!AA19,"")</f>
        <v/>
      </c>
      <c r="U12" s="285" t="str">
        <f>IF(AND('Ihr Studienplan'!AA19&gt;=1,'Ihr Studienplan'!AA19&lt;=4),'Ihr Studienplan'!Y19,"")</f>
        <v/>
      </c>
      <c r="V12" s="308" t="str">
        <f>IF(T12="P",'Ihr Studienplan'!Y19,"")</f>
        <v/>
      </c>
      <c r="W12" s="308" t="str">
        <f t="shared" si="3"/>
        <v/>
      </c>
      <c r="X12" s="319"/>
      <c r="Y12" s="319"/>
      <c r="Z12" s="319"/>
      <c r="AA12" s="319"/>
      <c r="AB12" s="319"/>
      <c r="AC12" s="320"/>
    </row>
    <row r="13" spans="1:29" x14ac:dyDescent="0.35">
      <c r="A13" s="307" t="str">
        <f>IF('Ihr Studienplan'!H20&lt;&gt;"",'Ihr Studienplan'!H20,"")</f>
        <v/>
      </c>
      <c r="B13" s="285" t="str">
        <f>IF(AND('Ihr Studienplan'!H20&gt;=1,'Ihr Studienplan'!H20&lt;=4),'Ihr Studienplan'!F20,"")</f>
        <v/>
      </c>
      <c r="C13" s="308" t="str">
        <f>IF(A13="P",'Ihr Studienplan'!F20,"")</f>
        <v/>
      </c>
      <c r="D13" s="308" t="str">
        <f t="shared" si="0"/>
        <v/>
      </c>
      <c r="E13" s="248"/>
      <c r="F13" s="243"/>
      <c r="G13" s="243" t="str">
        <f>IF('Ihr Studienplan'!N20&lt;&gt;"",'Ihr Studienplan'!N20,"")</f>
        <v/>
      </c>
      <c r="H13" s="285" t="str">
        <f>IF(AND('Ihr Studienplan'!N20&gt;=1,'Ihr Studienplan'!N20&lt;=4),'Ihr Studienplan'!L20,"")</f>
        <v/>
      </c>
      <c r="I13" s="308" t="str">
        <f>IF(G13="P",'Ihr Studienplan'!L20,"")</f>
        <v/>
      </c>
      <c r="J13" s="308" t="str">
        <f t="shared" si="1"/>
        <v/>
      </c>
      <c r="K13" s="319"/>
      <c r="L13" s="319"/>
      <c r="M13" s="243" t="str">
        <f>IF('Ihr Studienplan'!T20&lt;&gt;"",'Ihr Studienplan'!T20,"")</f>
        <v/>
      </c>
      <c r="N13" s="285" t="str">
        <f>IF(AND('Ihr Studienplan'!T20&gt;=1,'Ihr Studienplan'!T20&lt;=4),'Ihr Studienplan'!R20,"")</f>
        <v/>
      </c>
      <c r="O13" s="308" t="str">
        <f>IF(M13="P",'Ihr Studienplan'!R20,"")</f>
        <v/>
      </c>
      <c r="P13" s="308" t="str">
        <f t="shared" si="2"/>
        <v/>
      </c>
      <c r="Q13" s="319"/>
      <c r="R13" s="319"/>
      <c r="S13" s="243" t="str">
        <f>IF('Ihr Studienplan'!Z20&lt;&gt;"",'Ihr Studienplan'!Z20,"")</f>
        <v/>
      </c>
      <c r="T13" s="243" t="str">
        <f>IF('Ihr Studienplan'!AA20&lt;&gt;"",'Ihr Studienplan'!AA20,"")</f>
        <v/>
      </c>
      <c r="U13" s="285" t="str">
        <f>IF(AND('Ihr Studienplan'!AA20&gt;=1,'Ihr Studienplan'!AA20&lt;=4),'Ihr Studienplan'!Y20,"")</f>
        <v/>
      </c>
      <c r="V13" s="308" t="str">
        <f>IF(T13="P",'Ihr Studienplan'!Y20,"")</f>
        <v/>
      </c>
      <c r="W13" s="308" t="str">
        <f t="shared" si="3"/>
        <v/>
      </c>
      <c r="X13" s="319"/>
      <c r="Y13" s="319"/>
      <c r="Z13" s="319"/>
      <c r="AA13" s="319"/>
      <c r="AB13" s="319"/>
      <c r="AC13" s="320"/>
    </row>
    <row r="14" spans="1:29" x14ac:dyDescent="0.35">
      <c r="A14" s="307" t="str">
        <f>IF('Ihr Studienplan'!H21&lt;&gt;"",'Ihr Studienplan'!H21,"")</f>
        <v/>
      </c>
      <c r="B14" s="285" t="str">
        <f>IF(AND('Ihr Studienplan'!H21&gt;=1,'Ihr Studienplan'!H21&lt;=4),'Ihr Studienplan'!F21,"")</f>
        <v/>
      </c>
      <c r="C14" s="308" t="str">
        <f>IF(A14="P",'Ihr Studienplan'!F21,"")</f>
        <v/>
      </c>
      <c r="D14" s="308" t="str">
        <f t="shared" si="0"/>
        <v/>
      </c>
      <c r="E14" s="248"/>
      <c r="F14" s="243"/>
      <c r="G14" s="243" t="str">
        <f>IF('Ihr Studienplan'!N21&lt;&gt;"",'Ihr Studienplan'!N21,"")</f>
        <v/>
      </c>
      <c r="H14" s="285" t="str">
        <f>IF(AND('Ihr Studienplan'!N21&gt;=1,'Ihr Studienplan'!N21&lt;=4),'Ihr Studienplan'!L21,"")</f>
        <v/>
      </c>
      <c r="I14" s="308" t="str">
        <f>IF(G14="P",'Ihr Studienplan'!L21,"")</f>
        <v/>
      </c>
      <c r="J14" s="308" t="str">
        <f t="shared" si="1"/>
        <v/>
      </c>
      <c r="K14" s="319"/>
      <c r="L14" s="319"/>
      <c r="M14" s="243" t="str">
        <f>IF('Ihr Studienplan'!T21&lt;&gt;"",'Ihr Studienplan'!T21,"")</f>
        <v/>
      </c>
      <c r="N14" s="285" t="str">
        <f>IF(AND('Ihr Studienplan'!T21&gt;=1,'Ihr Studienplan'!T21&lt;=4),'Ihr Studienplan'!R21,"")</f>
        <v/>
      </c>
      <c r="O14" s="308" t="str">
        <f>IF(M14="P",'Ihr Studienplan'!R21,"")</f>
        <v/>
      </c>
      <c r="P14" s="308" t="str">
        <f t="shared" si="2"/>
        <v/>
      </c>
      <c r="Q14" s="319"/>
      <c r="R14" s="319"/>
      <c r="S14" s="243" t="str">
        <f>IF('Ihr Studienplan'!Z21&lt;&gt;"",'Ihr Studienplan'!Z21,"")</f>
        <v/>
      </c>
      <c r="T14" s="243" t="str">
        <f>IF('Ihr Studienplan'!AA21&lt;&gt;"",'Ihr Studienplan'!AA21,"")</f>
        <v/>
      </c>
      <c r="U14" s="285" t="str">
        <f>IF(AND('Ihr Studienplan'!AA21&gt;=1,'Ihr Studienplan'!AA21&lt;=4),'Ihr Studienplan'!Y21,"")</f>
        <v/>
      </c>
      <c r="V14" s="308" t="str">
        <f>IF(T14="P",'Ihr Studienplan'!Y21,"")</f>
        <v/>
      </c>
      <c r="W14" s="308" t="str">
        <f t="shared" si="3"/>
        <v/>
      </c>
      <c r="X14" s="319"/>
      <c r="Y14" s="319"/>
      <c r="Z14" s="319"/>
      <c r="AA14" s="319"/>
      <c r="AB14" s="319"/>
      <c r="AC14" s="320"/>
    </row>
    <row r="15" spans="1:29" x14ac:dyDescent="0.35">
      <c r="A15" s="307" t="str">
        <f>IF('Ihr Studienplan'!H22&lt;&gt;"",'Ihr Studienplan'!H22,"")</f>
        <v/>
      </c>
      <c r="B15" s="285" t="str">
        <f>IF(AND('Ihr Studienplan'!H22&gt;=1,'Ihr Studienplan'!H22&lt;=4),'Ihr Studienplan'!F22,"")</f>
        <v/>
      </c>
      <c r="C15" s="308" t="str">
        <f>IF(A15="P",'Ihr Studienplan'!F22,"")</f>
        <v/>
      </c>
      <c r="D15" s="308" t="str">
        <f t="shared" si="0"/>
        <v/>
      </c>
      <c r="E15" s="248"/>
      <c r="F15" s="243"/>
      <c r="G15" s="243" t="str">
        <f>IF('Ihr Studienplan'!N22&lt;&gt;"",'Ihr Studienplan'!N22,"")</f>
        <v/>
      </c>
      <c r="H15" s="285" t="str">
        <f>IF(AND('Ihr Studienplan'!N22&gt;=1,'Ihr Studienplan'!N22&lt;=4),'Ihr Studienplan'!L22,"")</f>
        <v/>
      </c>
      <c r="I15" s="308" t="str">
        <f>IF(G15="P",'Ihr Studienplan'!L22,"")</f>
        <v/>
      </c>
      <c r="J15" s="308" t="str">
        <f t="shared" si="1"/>
        <v/>
      </c>
      <c r="K15" s="319"/>
      <c r="L15" s="319"/>
      <c r="M15" s="243" t="str">
        <f>IF('Ihr Studienplan'!T22&lt;&gt;"",'Ihr Studienplan'!T22,"")</f>
        <v/>
      </c>
      <c r="N15" s="285" t="str">
        <f>IF(AND('Ihr Studienplan'!T22&gt;=1,'Ihr Studienplan'!T22&lt;=4),'Ihr Studienplan'!R22,"")</f>
        <v/>
      </c>
      <c r="O15" s="308" t="str">
        <f>IF(M15="P",'Ihr Studienplan'!R22,"")</f>
        <v/>
      </c>
      <c r="P15" s="308" t="str">
        <f t="shared" si="2"/>
        <v/>
      </c>
      <c r="Q15" s="319"/>
      <c r="R15" s="319"/>
      <c r="S15" s="243" t="str">
        <f>IF('Ihr Studienplan'!Z22&lt;&gt;"",'Ihr Studienplan'!Z22,"")</f>
        <v/>
      </c>
      <c r="T15" s="243" t="str">
        <f>IF('Ihr Studienplan'!AA22&lt;&gt;"",'Ihr Studienplan'!AA22,"")</f>
        <v/>
      </c>
      <c r="U15" s="285" t="str">
        <f>IF(AND('Ihr Studienplan'!AA22&gt;=1,'Ihr Studienplan'!AA22&lt;=4),'Ihr Studienplan'!Y22,"")</f>
        <v/>
      </c>
      <c r="V15" s="308" t="str">
        <f>IF(T15="P",'Ihr Studienplan'!Y22,"")</f>
        <v/>
      </c>
      <c r="W15" s="308" t="str">
        <f t="shared" si="3"/>
        <v/>
      </c>
      <c r="X15" s="319"/>
      <c r="Y15" s="319"/>
      <c r="Z15" s="319"/>
      <c r="AA15" s="319"/>
      <c r="AB15" s="319"/>
      <c r="AC15" s="320"/>
    </row>
    <row r="16" spans="1:29" x14ac:dyDescent="0.35">
      <c r="A16" s="307" t="str">
        <f>IF('Ihr Studienplan'!H23&lt;&gt;"",'Ihr Studienplan'!H23,"")</f>
        <v/>
      </c>
      <c r="B16" s="285" t="str">
        <f>IF(AND('Ihr Studienplan'!H23&gt;=1,'Ihr Studienplan'!H23&lt;=4),'Ihr Studienplan'!F23,"")</f>
        <v/>
      </c>
      <c r="C16" s="308" t="str">
        <f>IF(A16="P",'Ihr Studienplan'!F23,"")</f>
        <v/>
      </c>
      <c r="D16" s="308" t="str">
        <f t="shared" si="0"/>
        <v/>
      </c>
      <c r="E16" s="248"/>
      <c r="F16" s="243"/>
      <c r="G16" s="243" t="str">
        <f>IF('Ihr Studienplan'!N23&lt;&gt;"",'Ihr Studienplan'!N23,"")</f>
        <v/>
      </c>
      <c r="H16" s="285" t="str">
        <f>IF(AND('Ihr Studienplan'!N23&gt;=1,'Ihr Studienplan'!N23&lt;=4),'Ihr Studienplan'!L23,"")</f>
        <v/>
      </c>
      <c r="I16" s="308" t="str">
        <f>IF(G16="P",'Ihr Studienplan'!L23,"")</f>
        <v/>
      </c>
      <c r="J16" s="308" t="str">
        <f t="shared" si="1"/>
        <v/>
      </c>
      <c r="K16" s="319"/>
      <c r="L16" s="319"/>
      <c r="M16" s="243" t="str">
        <f>IF('Ihr Studienplan'!T23&lt;&gt;"",'Ihr Studienplan'!T23,"")</f>
        <v/>
      </c>
      <c r="N16" s="285" t="str">
        <f>IF(AND('Ihr Studienplan'!T23&gt;=1,'Ihr Studienplan'!T23&lt;=4),'Ihr Studienplan'!R23,"")</f>
        <v/>
      </c>
      <c r="O16" s="308" t="str">
        <f>IF(M16="P",'Ihr Studienplan'!R23,"")</f>
        <v/>
      </c>
      <c r="P16" s="308" t="str">
        <f t="shared" si="2"/>
        <v/>
      </c>
      <c r="Q16" s="319"/>
      <c r="R16" s="319"/>
      <c r="S16" s="243" t="str">
        <f>IF('Ihr Studienplan'!Z23&lt;&gt;"",'Ihr Studienplan'!Z23,"")</f>
        <v/>
      </c>
      <c r="T16" s="243" t="str">
        <f>IF('Ihr Studienplan'!AA23&lt;&gt;"",'Ihr Studienplan'!AA23,"")</f>
        <v/>
      </c>
      <c r="U16" s="285" t="str">
        <f>IF(AND('Ihr Studienplan'!AA23&gt;=1,'Ihr Studienplan'!AA23&lt;=4),'Ihr Studienplan'!Y23,"")</f>
        <v/>
      </c>
      <c r="V16" s="308" t="str">
        <f>IF(T16="P",'Ihr Studienplan'!Y23,"")</f>
        <v/>
      </c>
      <c r="W16" s="308" t="str">
        <f t="shared" si="3"/>
        <v/>
      </c>
      <c r="X16" s="319"/>
      <c r="Y16" s="319"/>
      <c r="Z16" s="319"/>
      <c r="AA16" s="319"/>
      <c r="AB16" s="319"/>
      <c r="AC16" s="320"/>
    </row>
    <row r="17" spans="1:29" x14ac:dyDescent="0.35">
      <c r="A17" s="307" t="str">
        <f>IF('Ihr Studienplan'!H24&lt;&gt;"",'Ihr Studienplan'!H24,"")</f>
        <v/>
      </c>
      <c r="B17" s="285" t="str">
        <f>IF(AND('Ihr Studienplan'!H24&gt;=1,'Ihr Studienplan'!H24&lt;=4),'Ihr Studienplan'!F24,"")</f>
        <v/>
      </c>
      <c r="C17" s="308" t="str">
        <f>IF(A17="P",'Ihr Studienplan'!F24,"")</f>
        <v/>
      </c>
      <c r="D17" s="308" t="str">
        <f t="shared" si="0"/>
        <v/>
      </c>
      <c r="E17" s="248"/>
      <c r="F17" s="243"/>
      <c r="G17" s="243" t="str">
        <f>IF('Ihr Studienplan'!N24&lt;&gt;"",'Ihr Studienplan'!N24,"")</f>
        <v/>
      </c>
      <c r="H17" s="285" t="str">
        <f>IF(AND('Ihr Studienplan'!N24&gt;=1,'Ihr Studienplan'!N24&lt;=4),'Ihr Studienplan'!L24,"")</f>
        <v/>
      </c>
      <c r="I17" s="308" t="str">
        <f>IF(G17="P",'Ihr Studienplan'!L24,"")</f>
        <v/>
      </c>
      <c r="J17" s="308" t="str">
        <f t="shared" si="1"/>
        <v/>
      </c>
      <c r="K17" s="319"/>
      <c r="L17" s="319"/>
      <c r="M17" s="243" t="str">
        <f>IF('Ihr Studienplan'!T24&lt;&gt;"",'Ihr Studienplan'!T24,"")</f>
        <v/>
      </c>
      <c r="N17" s="285" t="str">
        <f>IF(AND('Ihr Studienplan'!T24&gt;=1,'Ihr Studienplan'!T24&lt;=4),'Ihr Studienplan'!R24,"")</f>
        <v/>
      </c>
      <c r="O17" s="308" t="str">
        <f>IF(M17="P",'Ihr Studienplan'!R24,"")</f>
        <v/>
      </c>
      <c r="P17" s="308" t="str">
        <f t="shared" si="2"/>
        <v/>
      </c>
      <c r="Q17" s="319"/>
      <c r="R17" s="319"/>
      <c r="S17" s="243" t="str">
        <f>IF('Ihr Studienplan'!Z24&lt;&gt;"",'Ihr Studienplan'!Z24,"")</f>
        <v/>
      </c>
      <c r="T17" s="243" t="str">
        <f>IF('Ihr Studienplan'!AA24&lt;&gt;"",'Ihr Studienplan'!AA24,"")</f>
        <v/>
      </c>
      <c r="U17" s="285" t="str">
        <f>IF(AND('Ihr Studienplan'!AA24&gt;=1,'Ihr Studienplan'!AA24&lt;=4),'Ihr Studienplan'!Y24,"")</f>
        <v/>
      </c>
      <c r="V17" s="308" t="str">
        <f>IF(T17="P",'Ihr Studienplan'!Y24,"")</f>
        <v/>
      </c>
      <c r="W17" s="308" t="str">
        <f t="shared" si="3"/>
        <v/>
      </c>
      <c r="X17" s="319"/>
      <c r="Y17" s="319"/>
      <c r="Z17" s="319"/>
      <c r="AA17" s="319"/>
      <c r="AB17" s="319"/>
      <c r="AC17" s="320"/>
    </row>
    <row r="18" spans="1:29" x14ac:dyDescent="0.35">
      <c r="A18" s="307" t="str">
        <f>IF('Ihr Studienplan'!H25&lt;&gt;"",'Ihr Studienplan'!H25,"")</f>
        <v/>
      </c>
      <c r="B18" s="285" t="str">
        <f>IF(AND('Ihr Studienplan'!H25&gt;=1,'Ihr Studienplan'!H25&lt;=4),'Ihr Studienplan'!F25,"")</f>
        <v/>
      </c>
      <c r="C18" s="308" t="str">
        <f>IF(A18="P",'Ihr Studienplan'!F25,"")</f>
        <v/>
      </c>
      <c r="D18" s="308" t="str">
        <f t="shared" si="0"/>
        <v/>
      </c>
      <c r="E18" s="248"/>
      <c r="F18" s="243"/>
      <c r="G18" s="243" t="str">
        <f>IF('Ihr Studienplan'!N25&lt;&gt;"",'Ihr Studienplan'!N25,"")</f>
        <v/>
      </c>
      <c r="H18" s="285" t="str">
        <f>IF(AND('Ihr Studienplan'!N25&gt;=1,'Ihr Studienplan'!N25&lt;=4),'Ihr Studienplan'!L25,"")</f>
        <v/>
      </c>
      <c r="I18" s="308" t="str">
        <f>IF(G18="P",'Ihr Studienplan'!L25,"")</f>
        <v/>
      </c>
      <c r="J18" s="308" t="str">
        <f t="shared" si="1"/>
        <v/>
      </c>
      <c r="K18" s="319"/>
      <c r="L18" s="319"/>
      <c r="M18" s="243" t="str">
        <f>IF('Ihr Studienplan'!T25&lt;&gt;"",'Ihr Studienplan'!T25,"")</f>
        <v/>
      </c>
      <c r="N18" s="285" t="str">
        <f>IF(AND('Ihr Studienplan'!T25&gt;=1,'Ihr Studienplan'!T25&lt;=4),'Ihr Studienplan'!R25,"")</f>
        <v/>
      </c>
      <c r="O18" s="308" t="str">
        <f>IF(M18="P",'Ihr Studienplan'!R25,"")</f>
        <v/>
      </c>
      <c r="P18" s="308" t="str">
        <f t="shared" si="2"/>
        <v/>
      </c>
      <c r="Q18" s="319"/>
      <c r="R18" s="319"/>
      <c r="S18" s="243" t="str">
        <f>IF('Ihr Studienplan'!Z25&lt;&gt;"",'Ihr Studienplan'!Z25,"")</f>
        <v/>
      </c>
      <c r="T18" s="243" t="str">
        <f>IF('Ihr Studienplan'!AA25&lt;&gt;"",'Ihr Studienplan'!AA25,"")</f>
        <v/>
      </c>
      <c r="U18" s="285" t="str">
        <f>IF(AND('Ihr Studienplan'!AA25&gt;=1,'Ihr Studienplan'!AA25&lt;=4),'Ihr Studienplan'!Y25,"")</f>
        <v/>
      </c>
      <c r="V18" s="308" t="str">
        <f>IF(T18="P",'Ihr Studienplan'!Y25,"")</f>
        <v/>
      </c>
      <c r="W18" s="308" t="str">
        <f t="shared" si="3"/>
        <v/>
      </c>
      <c r="X18" s="319"/>
      <c r="Y18" s="319"/>
      <c r="Z18" s="319"/>
      <c r="AA18" s="319"/>
      <c r="AB18" s="319"/>
      <c r="AC18" s="320"/>
    </row>
    <row r="19" spans="1:29" x14ac:dyDescent="0.35">
      <c r="A19" s="307" t="str">
        <f>IF('Ihr Studienplan'!H26&lt;&gt;"",'Ihr Studienplan'!H26,"")</f>
        <v/>
      </c>
      <c r="B19" s="285" t="str">
        <f>IF(AND('Ihr Studienplan'!H26&gt;=1,'Ihr Studienplan'!H26&lt;=4),'Ihr Studienplan'!F26,"")</f>
        <v/>
      </c>
      <c r="C19" s="308" t="str">
        <f>IF(A19="P",'Ihr Studienplan'!F26,"")</f>
        <v/>
      </c>
      <c r="D19" s="308" t="str">
        <f t="shared" si="0"/>
        <v/>
      </c>
      <c r="E19" s="248"/>
      <c r="F19" s="243"/>
      <c r="G19" s="243" t="str">
        <f>IF('Ihr Studienplan'!N26&lt;&gt;"",'Ihr Studienplan'!N26,"")</f>
        <v/>
      </c>
      <c r="H19" s="285" t="str">
        <f>IF(AND('Ihr Studienplan'!N26&gt;=1,'Ihr Studienplan'!N26&lt;=4),'Ihr Studienplan'!L26,"")</f>
        <v/>
      </c>
      <c r="I19" s="308" t="str">
        <f>IF(G19="P",'Ihr Studienplan'!L26,"")</f>
        <v/>
      </c>
      <c r="J19" s="308" t="str">
        <f t="shared" si="1"/>
        <v/>
      </c>
      <c r="K19" s="319"/>
      <c r="L19" s="319"/>
      <c r="M19" s="243" t="str">
        <f>IF('Ihr Studienplan'!T26&lt;&gt;"",'Ihr Studienplan'!T26,"")</f>
        <v/>
      </c>
      <c r="N19" s="285" t="str">
        <f>IF(AND('Ihr Studienplan'!T26&gt;=1,'Ihr Studienplan'!T26&lt;=4),'Ihr Studienplan'!R26,"")</f>
        <v/>
      </c>
      <c r="O19" s="308" t="str">
        <f>IF(M19="P",'Ihr Studienplan'!R26,"")</f>
        <v/>
      </c>
      <c r="P19" s="308" t="str">
        <f t="shared" si="2"/>
        <v/>
      </c>
      <c r="Q19" s="319"/>
      <c r="R19" s="319"/>
      <c r="S19" s="243" t="str">
        <f>IF('Ihr Studienplan'!Z26&lt;&gt;"",'Ihr Studienplan'!Z26,"")</f>
        <v/>
      </c>
      <c r="T19" s="243" t="str">
        <f>IF('Ihr Studienplan'!AA26&lt;&gt;"",'Ihr Studienplan'!AA26,"")</f>
        <v/>
      </c>
      <c r="U19" s="285" t="str">
        <f>IF(AND('Ihr Studienplan'!AA26&gt;=1,'Ihr Studienplan'!AA26&lt;=4),'Ihr Studienplan'!Y26,"")</f>
        <v/>
      </c>
      <c r="V19" s="308" t="str">
        <f>IF(T19="P",'Ihr Studienplan'!Y26,"")</f>
        <v/>
      </c>
      <c r="W19" s="308" t="str">
        <f t="shared" si="3"/>
        <v/>
      </c>
      <c r="X19" s="319"/>
      <c r="Y19" s="319"/>
      <c r="Z19" s="319"/>
      <c r="AA19" s="319"/>
      <c r="AB19" s="319"/>
      <c r="AC19" s="320"/>
    </row>
    <row r="20" spans="1:29" x14ac:dyDescent="0.35">
      <c r="A20" s="307" t="str">
        <f>IF('Ihr Studienplan'!H27&lt;&gt;"",'Ihr Studienplan'!H27,"")</f>
        <v/>
      </c>
      <c r="B20" s="285" t="str">
        <f>IF(AND('Ihr Studienplan'!H27&gt;=1,'Ihr Studienplan'!H27&lt;=4),'Ihr Studienplan'!F27,"")</f>
        <v/>
      </c>
      <c r="C20" s="308" t="str">
        <f>IF(A20="P",'Ihr Studienplan'!F27,"")</f>
        <v/>
      </c>
      <c r="D20" s="308" t="str">
        <f t="shared" si="0"/>
        <v/>
      </c>
      <c r="E20" s="248"/>
      <c r="F20" s="243"/>
      <c r="G20" s="243" t="str">
        <f>IF('Ihr Studienplan'!N27&lt;&gt;"",'Ihr Studienplan'!N27,"")</f>
        <v/>
      </c>
      <c r="H20" s="285" t="str">
        <f>IF(AND('Ihr Studienplan'!N27&gt;=1,'Ihr Studienplan'!N27&lt;=4),'Ihr Studienplan'!L27,"")</f>
        <v/>
      </c>
      <c r="I20" s="308" t="str">
        <f>IF(G20="P",'Ihr Studienplan'!L27,"")</f>
        <v/>
      </c>
      <c r="J20" s="308" t="str">
        <f t="shared" si="1"/>
        <v/>
      </c>
      <c r="K20" s="319"/>
      <c r="L20" s="319"/>
      <c r="M20" s="243" t="str">
        <f>IF('Ihr Studienplan'!T27&lt;&gt;"",'Ihr Studienplan'!T27,"")</f>
        <v/>
      </c>
      <c r="N20" s="285" t="str">
        <f>IF(AND('Ihr Studienplan'!T27&gt;=1,'Ihr Studienplan'!T27&lt;=4),'Ihr Studienplan'!R27,"")</f>
        <v/>
      </c>
      <c r="O20" s="308" t="str">
        <f>IF(M20="P",'Ihr Studienplan'!R27,"")</f>
        <v/>
      </c>
      <c r="P20" s="308" t="str">
        <f t="shared" si="2"/>
        <v/>
      </c>
      <c r="Q20" s="319"/>
      <c r="R20" s="319"/>
      <c r="S20" s="243" t="str">
        <f>IF('Ihr Studienplan'!Z27&lt;&gt;"",'Ihr Studienplan'!Z27,"")</f>
        <v/>
      </c>
      <c r="T20" s="243" t="str">
        <f>IF('Ihr Studienplan'!AA27&lt;&gt;"",'Ihr Studienplan'!AA27,"")</f>
        <v/>
      </c>
      <c r="U20" s="285" t="str">
        <f>IF(AND('Ihr Studienplan'!AA27&gt;=1,'Ihr Studienplan'!AA27&lt;=4),'Ihr Studienplan'!Y27,"")</f>
        <v/>
      </c>
      <c r="V20" s="308" t="str">
        <f>IF(T20="P",'Ihr Studienplan'!Y27,"")</f>
        <v/>
      </c>
      <c r="W20" s="308" t="str">
        <f t="shared" si="3"/>
        <v/>
      </c>
      <c r="X20" s="319"/>
      <c r="Y20" s="319"/>
      <c r="Z20" s="319"/>
      <c r="AA20" s="319"/>
      <c r="AB20" s="319"/>
      <c r="AC20" s="320"/>
    </row>
    <row r="21" spans="1:29" x14ac:dyDescent="0.35">
      <c r="A21" s="307" t="str">
        <f>IF('Ihr Studienplan'!H28&lt;&gt;"",'Ihr Studienplan'!H28,"")</f>
        <v/>
      </c>
      <c r="B21" s="285" t="str">
        <f>IF(AND('Ihr Studienplan'!H28&gt;=1,'Ihr Studienplan'!H28&lt;=4),'Ihr Studienplan'!F28,"")</f>
        <v/>
      </c>
      <c r="C21" s="308" t="str">
        <f>IF(A21="P",'Ihr Studienplan'!F28,"")</f>
        <v/>
      </c>
      <c r="D21" s="308" t="str">
        <f t="shared" si="0"/>
        <v/>
      </c>
      <c r="E21" s="248"/>
      <c r="F21" s="243"/>
      <c r="G21" s="243" t="str">
        <f>IF('Ihr Studienplan'!N28&lt;&gt;"",'Ihr Studienplan'!N28,"")</f>
        <v/>
      </c>
      <c r="H21" s="285" t="str">
        <f>IF(AND('Ihr Studienplan'!N28&gt;=1,'Ihr Studienplan'!N28&lt;=4),'Ihr Studienplan'!L28,"")</f>
        <v/>
      </c>
      <c r="I21" s="308" t="str">
        <f>IF(G21="P",'Ihr Studienplan'!L28,"")</f>
        <v/>
      </c>
      <c r="J21" s="308" t="str">
        <f t="shared" si="1"/>
        <v/>
      </c>
      <c r="K21" s="319"/>
      <c r="L21" s="319"/>
      <c r="M21" s="243" t="str">
        <f>IF('Ihr Studienplan'!T28&lt;&gt;"",'Ihr Studienplan'!T28,"")</f>
        <v/>
      </c>
      <c r="N21" s="285" t="str">
        <f>IF(AND('Ihr Studienplan'!T28&gt;=1,'Ihr Studienplan'!T28&lt;=4),'Ihr Studienplan'!R28,"")</f>
        <v/>
      </c>
      <c r="O21" s="308" t="str">
        <f>IF(M21="P",'Ihr Studienplan'!R28,"")</f>
        <v/>
      </c>
      <c r="P21" s="308" t="str">
        <f t="shared" si="2"/>
        <v/>
      </c>
      <c r="Q21" s="319"/>
      <c r="R21" s="319"/>
      <c r="S21" s="243" t="str">
        <f>IF('Ihr Studienplan'!Z28&lt;&gt;"",'Ihr Studienplan'!Z28,"")</f>
        <v/>
      </c>
      <c r="T21" s="243" t="str">
        <f>IF('Ihr Studienplan'!AA28&lt;&gt;"",'Ihr Studienplan'!AA28,"")</f>
        <v/>
      </c>
      <c r="U21" s="285" t="str">
        <f>IF(AND('Ihr Studienplan'!AA28&gt;=1,'Ihr Studienplan'!AA28&lt;=4),'Ihr Studienplan'!Y28,"")</f>
        <v/>
      </c>
      <c r="V21" s="308" t="str">
        <f>IF(T21="P",'Ihr Studienplan'!Y28,"")</f>
        <v/>
      </c>
      <c r="W21" s="308" t="str">
        <f t="shared" si="3"/>
        <v/>
      </c>
      <c r="X21" s="319"/>
      <c r="Y21" s="319"/>
      <c r="Z21" s="319"/>
      <c r="AA21" s="319"/>
      <c r="AB21" s="319"/>
      <c r="AC21" s="320"/>
    </row>
    <row r="22" spans="1:29" x14ac:dyDescent="0.35">
      <c r="A22" s="307" t="str">
        <f>IF('Ihr Studienplan'!H29&lt;&gt;"",'Ihr Studienplan'!H29,"")</f>
        <v/>
      </c>
      <c r="B22" s="285" t="str">
        <f>IF(AND('Ihr Studienplan'!H29&gt;=1,'Ihr Studienplan'!H29&lt;=4),'Ihr Studienplan'!F29,"")</f>
        <v/>
      </c>
      <c r="C22" s="308" t="str">
        <f>IF(A22="P",'Ihr Studienplan'!F29,"")</f>
        <v/>
      </c>
      <c r="D22" s="308" t="str">
        <f t="shared" si="0"/>
        <v/>
      </c>
      <c r="E22" s="248"/>
      <c r="F22" s="243"/>
      <c r="G22" s="243" t="str">
        <f>IF('Ihr Studienplan'!N29&lt;&gt;"",'Ihr Studienplan'!N29,"")</f>
        <v/>
      </c>
      <c r="H22" s="285" t="str">
        <f>IF(AND('Ihr Studienplan'!N29&gt;=1,'Ihr Studienplan'!N29&lt;=4),'Ihr Studienplan'!L29,"")</f>
        <v/>
      </c>
      <c r="I22" s="308" t="str">
        <f>IF(G22="P",'Ihr Studienplan'!L29,"")</f>
        <v/>
      </c>
      <c r="J22" s="308" t="str">
        <f t="shared" si="1"/>
        <v/>
      </c>
      <c r="K22" s="319"/>
      <c r="L22" s="319"/>
      <c r="M22" s="243" t="str">
        <f>IF('Ihr Studienplan'!T29&lt;&gt;"",'Ihr Studienplan'!T29,"")</f>
        <v/>
      </c>
      <c r="N22" s="285" t="str">
        <f>IF(AND('Ihr Studienplan'!T29&gt;=1,'Ihr Studienplan'!T29&lt;=4),'Ihr Studienplan'!R29,"")</f>
        <v/>
      </c>
      <c r="O22" s="308" t="str">
        <f>IF(M22="P",'Ihr Studienplan'!R29,"")</f>
        <v/>
      </c>
      <c r="P22" s="308" t="str">
        <f t="shared" si="2"/>
        <v/>
      </c>
      <c r="Q22" s="319"/>
      <c r="R22" s="319"/>
      <c r="S22" s="243" t="str">
        <f>IF('Ihr Studienplan'!Z29&lt;&gt;"",'Ihr Studienplan'!Z29,"")</f>
        <v/>
      </c>
      <c r="T22" s="243" t="str">
        <f>IF('Ihr Studienplan'!AA29&lt;&gt;"",'Ihr Studienplan'!AA29,"")</f>
        <v/>
      </c>
      <c r="U22" s="285" t="str">
        <f>IF(AND('Ihr Studienplan'!AA29&gt;=1,'Ihr Studienplan'!AA29&lt;=4),'Ihr Studienplan'!Y29,"")</f>
        <v/>
      </c>
      <c r="V22" s="308" t="str">
        <f>IF(T22="P",'Ihr Studienplan'!Y29,"")</f>
        <v/>
      </c>
      <c r="W22" s="308" t="str">
        <f t="shared" si="3"/>
        <v/>
      </c>
      <c r="X22" s="319"/>
      <c r="Y22" s="319"/>
      <c r="Z22" s="319"/>
      <c r="AA22" s="319"/>
      <c r="AB22" s="319"/>
      <c r="AC22" s="320"/>
    </row>
    <row r="23" spans="1:29" x14ac:dyDescent="0.35">
      <c r="A23" s="307" t="str">
        <f>IF('Ihr Studienplan'!H30&lt;&gt;"",'Ihr Studienplan'!H30,"")</f>
        <v/>
      </c>
      <c r="B23" s="285" t="str">
        <f>IF(AND('Ihr Studienplan'!H30&gt;=1,'Ihr Studienplan'!H30&lt;=4),'Ihr Studienplan'!F30,"")</f>
        <v/>
      </c>
      <c r="C23" s="308" t="str">
        <f>IF(A23="P",'Ihr Studienplan'!F30,"")</f>
        <v/>
      </c>
      <c r="D23" s="308" t="str">
        <f t="shared" si="0"/>
        <v/>
      </c>
      <c r="E23" s="248"/>
      <c r="F23" s="243"/>
      <c r="G23" s="243" t="str">
        <f>IF('Ihr Studienplan'!N30&lt;&gt;"",'Ihr Studienplan'!N30,"")</f>
        <v/>
      </c>
      <c r="H23" s="285" t="str">
        <f>IF(AND('Ihr Studienplan'!N30&gt;=1,'Ihr Studienplan'!N30&lt;=4),'Ihr Studienplan'!L30,"")</f>
        <v/>
      </c>
      <c r="I23" s="308" t="str">
        <f>IF(G23="P",'Ihr Studienplan'!L30,"")</f>
        <v/>
      </c>
      <c r="J23" s="308" t="str">
        <f t="shared" si="1"/>
        <v/>
      </c>
      <c r="K23" s="319"/>
      <c r="L23" s="319"/>
      <c r="M23" s="243" t="str">
        <f>IF('Ihr Studienplan'!T30&lt;&gt;"",'Ihr Studienplan'!T30,"")</f>
        <v/>
      </c>
      <c r="N23" s="285" t="str">
        <f>IF(AND('Ihr Studienplan'!T30&gt;=1,'Ihr Studienplan'!T30&lt;=4),'Ihr Studienplan'!R30,"")</f>
        <v/>
      </c>
      <c r="O23" s="308" t="str">
        <f>IF(M23="P",'Ihr Studienplan'!R30,"")</f>
        <v/>
      </c>
      <c r="P23" s="308" t="str">
        <f t="shared" si="2"/>
        <v/>
      </c>
      <c r="Q23" s="319"/>
      <c r="R23" s="319"/>
      <c r="S23" s="243" t="str">
        <f>IF('Ihr Studienplan'!Z30&lt;&gt;"",'Ihr Studienplan'!Z30,"")</f>
        <v/>
      </c>
      <c r="T23" s="243" t="str">
        <f>IF('Ihr Studienplan'!AA30&lt;&gt;"",'Ihr Studienplan'!AA30,"")</f>
        <v/>
      </c>
      <c r="U23" s="285" t="str">
        <f>IF(AND('Ihr Studienplan'!AA30&gt;=1,'Ihr Studienplan'!AA30&lt;=4),'Ihr Studienplan'!Y30,"")</f>
        <v/>
      </c>
      <c r="V23" s="308" t="str">
        <f>IF(T23="P",'Ihr Studienplan'!Y30,"")</f>
        <v/>
      </c>
      <c r="W23" s="308" t="str">
        <f t="shared" si="3"/>
        <v/>
      </c>
      <c r="X23" s="319"/>
      <c r="Y23" s="319"/>
      <c r="Z23" s="319"/>
      <c r="AA23" s="319"/>
      <c r="AB23" s="319"/>
      <c r="AC23" s="320"/>
    </row>
    <row r="24" spans="1:29" x14ac:dyDescent="0.35">
      <c r="A24" s="307" t="str">
        <f>IF('Ihr Studienplan'!H31&lt;&gt;"",'Ihr Studienplan'!H31,"")</f>
        <v/>
      </c>
      <c r="B24" s="285" t="str">
        <f>IF(AND('Ihr Studienplan'!H31&gt;=1,'Ihr Studienplan'!H31&lt;=4),'Ihr Studienplan'!F31,"")</f>
        <v/>
      </c>
      <c r="C24" s="308" t="str">
        <f>IF(A24="P",'Ihr Studienplan'!F31,"")</f>
        <v/>
      </c>
      <c r="D24" s="308" t="str">
        <f t="shared" si="0"/>
        <v/>
      </c>
      <c r="E24" s="248"/>
      <c r="F24" s="243"/>
      <c r="G24" s="243" t="str">
        <f>IF('Ihr Studienplan'!N31&lt;&gt;"",'Ihr Studienplan'!N31,"")</f>
        <v/>
      </c>
      <c r="H24" s="285" t="str">
        <f>IF(AND('Ihr Studienplan'!N31&gt;=1,'Ihr Studienplan'!N31&lt;=4),'Ihr Studienplan'!L31,"")</f>
        <v/>
      </c>
      <c r="I24" s="308" t="str">
        <f>IF(G24="P",'Ihr Studienplan'!L31,"")</f>
        <v/>
      </c>
      <c r="J24" s="308" t="str">
        <f t="shared" si="1"/>
        <v/>
      </c>
      <c r="K24" s="319"/>
      <c r="L24" s="319"/>
      <c r="M24" s="243" t="str">
        <f>IF('Ihr Studienplan'!T31&lt;&gt;"",'Ihr Studienplan'!T31,"")</f>
        <v/>
      </c>
      <c r="N24" s="285" t="str">
        <f>IF(AND('Ihr Studienplan'!T31&gt;=1,'Ihr Studienplan'!T31&lt;=4),'Ihr Studienplan'!R31,"")</f>
        <v/>
      </c>
      <c r="O24" s="308" t="str">
        <f>IF(M24="P",'Ihr Studienplan'!R31,"")</f>
        <v/>
      </c>
      <c r="P24" s="308" t="str">
        <f t="shared" si="2"/>
        <v/>
      </c>
      <c r="Q24" s="319"/>
      <c r="R24" s="319"/>
      <c r="S24" s="243" t="str">
        <f>IF('Ihr Studienplan'!Z31&lt;&gt;"",'Ihr Studienplan'!Z31,"")</f>
        <v/>
      </c>
      <c r="T24" s="243" t="str">
        <f>IF('Ihr Studienplan'!AA31&lt;&gt;"",'Ihr Studienplan'!AA31,"")</f>
        <v/>
      </c>
      <c r="U24" s="285" t="str">
        <f>IF(AND('Ihr Studienplan'!AA31&gt;=1,'Ihr Studienplan'!AA31&lt;=4),'Ihr Studienplan'!Y31,"")</f>
        <v/>
      </c>
      <c r="V24" s="308" t="str">
        <f>IF(T24="P",'Ihr Studienplan'!Y31,"")</f>
        <v/>
      </c>
      <c r="W24" s="308" t="str">
        <f t="shared" si="3"/>
        <v/>
      </c>
      <c r="X24" s="319"/>
      <c r="Y24" s="319"/>
      <c r="Z24" s="319"/>
      <c r="AA24" s="319"/>
      <c r="AB24" s="319"/>
      <c r="AC24" s="320"/>
    </row>
    <row r="25" spans="1:29" x14ac:dyDescent="0.35">
      <c r="A25" s="307" t="str">
        <f>IF('Ihr Studienplan'!H32&lt;&gt;"",'Ihr Studienplan'!H32,"")</f>
        <v/>
      </c>
      <c r="B25" s="285" t="str">
        <f>IF(AND('Ihr Studienplan'!H32&gt;=1,'Ihr Studienplan'!H32&lt;=4),'Ihr Studienplan'!F32,"")</f>
        <v/>
      </c>
      <c r="C25" s="308" t="str">
        <f>IF(A25="P",'Ihr Studienplan'!F32,"")</f>
        <v/>
      </c>
      <c r="D25" s="308" t="str">
        <f t="shared" si="0"/>
        <v/>
      </c>
      <c r="E25" s="248"/>
      <c r="F25" s="243"/>
      <c r="G25" s="243" t="str">
        <f>IF('Ihr Studienplan'!N32&lt;&gt;"",'Ihr Studienplan'!N32,"")</f>
        <v/>
      </c>
      <c r="H25" s="285" t="str">
        <f>IF(AND('Ihr Studienplan'!N32&gt;=1,'Ihr Studienplan'!N32&lt;=4),'Ihr Studienplan'!L32,"")</f>
        <v/>
      </c>
      <c r="I25" s="308" t="str">
        <f>IF(G25="P",'Ihr Studienplan'!L32,"")</f>
        <v/>
      </c>
      <c r="J25" s="308" t="str">
        <f t="shared" si="1"/>
        <v/>
      </c>
      <c r="K25" s="319"/>
      <c r="L25" s="319"/>
      <c r="M25" s="243" t="str">
        <f>IF('Ihr Studienplan'!T32&lt;&gt;"",'Ihr Studienplan'!T32,"")</f>
        <v/>
      </c>
      <c r="N25" s="285" t="str">
        <f>IF(AND('Ihr Studienplan'!T32&gt;=1,'Ihr Studienplan'!T32&lt;=4),'Ihr Studienplan'!R32,"")</f>
        <v/>
      </c>
      <c r="O25" s="308" t="str">
        <f>IF(M25="P",'Ihr Studienplan'!R32,"")</f>
        <v/>
      </c>
      <c r="P25" s="308" t="str">
        <f t="shared" si="2"/>
        <v/>
      </c>
      <c r="Q25" s="319"/>
      <c r="R25" s="319"/>
      <c r="S25" s="243" t="str">
        <f>IF('Ihr Studienplan'!Z32&lt;&gt;"",'Ihr Studienplan'!Z32,"")</f>
        <v/>
      </c>
      <c r="T25" s="243" t="str">
        <f>IF('Ihr Studienplan'!AA32&lt;&gt;"",'Ihr Studienplan'!AA32,"")</f>
        <v/>
      </c>
      <c r="U25" s="285" t="str">
        <f>IF(AND('Ihr Studienplan'!AA32&gt;=1,'Ihr Studienplan'!AA32&lt;=4),'Ihr Studienplan'!Y32,"")</f>
        <v/>
      </c>
      <c r="V25" s="308" t="str">
        <f>IF(T25="P",'Ihr Studienplan'!Y32,"")</f>
        <v/>
      </c>
      <c r="W25" s="308" t="str">
        <f t="shared" si="3"/>
        <v/>
      </c>
      <c r="X25" s="319"/>
      <c r="Y25" s="319"/>
      <c r="Z25" s="319"/>
      <c r="AA25" s="319"/>
      <c r="AB25" s="319"/>
      <c r="AC25" s="320"/>
    </row>
    <row r="26" spans="1:29" x14ac:dyDescent="0.35">
      <c r="A26" s="307" t="str">
        <f>IF('Ihr Studienplan'!H33&lt;&gt;"",'Ihr Studienplan'!H33,"")</f>
        <v/>
      </c>
      <c r="B26" s="285" t="str">
        <f>IF(AND('Ihr Studienplan'!H33&gt;=1,'Ihr Studienplan'!H33&lt;=4),'Ihr Studienplan'!F33,"")</f>
        <v/>
      </c>
      <c r="C26" s="308" t="str">
        <f>IF(A26="P",'Ihr Studienplan'!F33,"")</f>
        <v/>
      </c>
      <c r="D26" s="308" t="str">
        <f t="shared" si="0"/>
        <v/>
      </c>
      <c r="E26" s="248"/>
      <c r="F26" s="243"/>
      <c r="G26" s="243" t="str">
        <f>IF('Ihr Studienplan'!N33&lt;&gt;"",'Ihr Studienplan'!N33,"")</f>
        <v/>
      </c>
      <c r="H26" s="285" t="str">
        <f>IF(AND('Ihr Studienplan'!N33&gt;=1,'Ihr Studienplan'!N33&lt;=4),'Ihr Studienplan'!L33,"")</f>
        <v/>
      </c>
      <c r="I26" s="308" t="str">
        <f>IF(G26="P",'Ihr Studienplan'!L33,"")</f>
        <v/>
      </c>
      <c r="J26" s="308" t="str">
        <f t="shared" si="1"/>
        <v/>
      </c>
      <c r="K26" s="319"/>
      <c r="L26" s="319"/>
      <c r="M26" s="243" t="str">
        <f>IF('Ihr Studienplan'!T33&lt;&gt;"",'Ihr Studienplan'!T33,"")</f>
        <v/>
      </c>
      <c r="N26" s="285" t="str">
        <f>IF(AND('Ihr Studienplan'!T33&gt;=1,'Ihr Studienplan'!T33&lt;=4),'Ihr Studienplan'!R33,"")</f>
        <v/>
      </c>
      <c r="O26" s="308" t="str">
        <f>IF(M26="P",'Ihr Studienplan'!R33,"")</f>
        <v/>
      </c>
      <c r="P26" s="308" t="str">
        <f t="shared" si="2"/>
        <v/>
      </c>
      <c r="Q26" s="319"/>
      <c r="R26" s="319"/>
      <c r="S26" s="243" t="str">
        <f>IF('Ihr Studienplan'!Z33&lt;&gt;"",'Ihr Studienplan'!Z33,"")</f>
        <v/>
      </c>
      <c r="T26" s="243" t="str">
        <f>IF('Ihr Studienplan'!AA33&lt;&gt;"",'Ihr Studienplan'!AA33,"")</f>
        <v/>
      </c>
      <c r="U26" s="285" t="str">
        <f>IF(AND('Ihr Studienplan'!AA33&gt;=1,'Ihr Studienplan'!AA33&lt;=4),'Ihr Studienplan'!Y33,"")</f>
        <v/>
      </c>
      <c r="V26" s="308" t="str">
        <f>IF(T26="P",'Ihr Studienplan'!Y33,"")</f>
        <v/>
      </c>
      <c r="W26" s="308" t="str">
        <f t="shared" si="3"/>
        <v/>
      </c>
      <c r="X26" s="319"/>
      <c r="Y26" s="319"/>
      <c r="Z26" s="319"/>
      <c r="AA26" s="319"/>
      <c r="AB26" s="319"/>
      <c r="AC26" s="320"/>
    </row>
    <row r="27" spans="1:29" x14ac:dyDescent="0.35">
      <c r="A27" s="307" t="str">
        <f>IF('Ihr Studienplan'!H34&lt;&gt;"",'Ihr Studienplan'!H34,"")</f>
        <v/>
      </c>
      <c r="B27" s="285" t="str">
        <f>IF(AND('Ihr Studienplan'!H34&gt;=1,'Ihr Studienplan'!H34&lt;=4),'Ihr Studienplan'!F34,"")</f>
        <v/>
      </c>
      <c r="C27" s="308" t="str">
        <f>IF(A27="P",'Ihr Studienplan'!F34,"")</f>
        <v/>
      </c>
      <c r="D27" s="308" t="str">
        <f t="shared" si="0"/>
        <v/>
      </c>
      <c r="E27" s="248"/>
      <c r="F27" s="243"/>
      <c r="G27" s="243" t="str">
        <f>IF('Ihr Studienplan'!N34&lt;&gt;"",'Ihr Studienplan'!N34,"")</f>
        <v/>
      </c>
      <c r="H27" s="285" t="str">
        <f>IF(AND('Ihr Studienplan'!N34&gt;=1,'Ihr Studienplan'!N34&lt;=4),'Ihr Studienplan'!L34,"")</f>
        <v/>
      </c>
      <c r="I27" s="308" t="str">
        <f>IF(G27="P",'Ihr Studienplan'!L34,"")</f>
        <v/>
      </c>
      <c r="J27" s="308" t="str">
        <f t="shared" si="1"/>
        <v/>
      </c>
      <c r="K27" s="319"/>
      <c r="L27" s="319"/>
      <c r="M27" s="243" t="str">
        <f>IF('Ihr Studienplan'!T34&lt;&gt;"",'Ihr Studienplan'!T34,"")</f>
        <v/>
      </c>
      <c r="N27" s="285" t="str">
        <f>IF(AND('Ihr Studienplan'!T34&gt;=1,'Ihr Studienplan'!T34&lt;=4),'Ihr Studienplan'!R34,"")</f>
        <v/>
      </c>
      <c r="O27" s="308" t="str">
        <f>IF(M27="P",'Ihr Studienplan'!R34,"")</f>
        <v/>
      </c>
      <c r="P27" s="308" t="str">
        <f t="shared" si="2"/>
        <v/>
      </c>
      <c r="Q27" s="319"/>
      <c r="R27" s="319"/>
      <c r="S27" s="243" t="str">
        <f>IF('Ihr Studienplan'!Z34&lt;&gt;"",'Ihr Studienplan'!Z34,"")</f>
        <v/>
      </c>
      <c r="T27" s="243" t="str">
        <f>IF('Ihr Studienplan'!AA34&lt;&gt;"",'Ihr Studienplan'!AA34,"")</f>
        <v/>
      </c>
      <c r="U27" s="285" t="str">
        <f>IF(AND('Ihr Studienplan'!AA34&gt;=1,'Ihr Studienplan'!AA34&lt;=4),'Ihr Studienplan'!Y34,"")</f>
        <v/>
      </c>
      <c r="V27" s="308" t="str">
        <f>IF(T27="P",'Ihr Studienplan'!Y34,"")</f>
        <v/>
      </c>
      <c r="W27" s="308" t="str">
        <f t="shared" si="3"/>
        <v/>
      </c>
      <c r="X27" s="319"/>
      <c r="Y27" s="319"/>
      <c r="Z27" s="319"/>
      <c r="AA27" s="319"/>
      <c r="AB27" s="319"/>
      <c r="AC27" s="320"/>
    </row>
    <row r="28" spans="1:29" x14ac:dyDescent="0.35">
      <c r="A28" s="306"/>
      <c r="B28" s="248"/>
      <c r="C28" s="248"/>
      <c r="D28" s="248"/>
      <c r="E28" s="248"/>
      <c r="F28" s="248"/>
      <c r="G28" s="248"/>
      <c r="H28" s="248"/>
      <c r="I28" s="248"/>
      <c r="J28" s="248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20"/>
    </row>
    <row r="29" spans="1:29" x14ac:dyDescent="0.35">
      <c r="A29" s="306"/>
      <c r="B29" s="248"/>
      <c r="C29" s="248"/>
      <c r="D29" s="248"/>
      <c r="E29" s="248"/>
      <c r="F29" s="248"/>
      <c r="G29" s="248"/>
      <c r="H29" s="248"/>
      <c r="I29" s="248"/>
      <c r="J29" s="248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20"/>
    </row>
    <row r="30" spans="1:29" x14ac:dyDescent="0.35">
      <c r="A30" s="306"/>
      <c r="B30" s="248"/>
      <c r="C30" s="248"/>
      <c r="D30" s="248"/>
      <c r="E30" s="248"/>
      <c r="F30" s="248"/>
      <c r="G30" s="248"/>
      <c r="H30" s="248"/>
      <c r="I30" s="248"/>
      <c r="J30" s="248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 t="s">
        <v>15</v>
      </c>
      <c r="Z30" s="243" t="str">
        <f>IF('Ihr Studienplan'!H44&lt;&gt;"",'Ihr Studienplan'!H44,"")</f>
        <v>P</v>
      </c>
      <c r="AA30" s="285" t="str">
        <f>IF(AND('Ihr Studienplan'!H44&gt;=1,'Ihr Studienplan'!H44&lt;=4),'Ihr Studienplan'!F44,"")</f>
        <v/>
      </c>
      <c r="AB30" s="308">
        <f>IF(Z30="P",'Ihr Studienplan'!F44,"")</f>
        <v>5</v>
      </c>
      <c r="AC30" s="309" t="str">
        <f>IF(OR(Z30="",Z30="P"),"",Z30*AA30)</f>
        <v/>
      </c>
    </row>
    <row r="31" spans="1:29" x14ac:dyDescent="0.35">
      <c r="A31" s="306"/>
      <c r="B31" s="248"/>
      <c r="C31" s="248"/>
      <c r="D31" s="248"/>
      <c r="E31" s="248"/>
      <c r="F31" s="248"/>
      <c r="G31" s="248"/>
      <c r="H31" s="248"/>
      <c r="I31" s="248"/>
      <c r="J31" s="248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 t="s">
        <v>0</v>
      </c>
      <c r="Z31" s="243" t="str">
        <f>IF('Ihr Studienplan'!T44&lt;&gt;"",'Ihr Studienplan'!T44,"")</f>
        <v>P</v>
      </c>
      <c r="AA31" s="285" t="str">
        <f>IF(AND('Ihr Studienplan'!T44&gt;=1,'Ihr Studienplan'!T44&lt;=4),'Ihr Studienplan'!R44,"")</f>
        <v/>
      </c>
      <c r="AB31" s="308">
        <f>IF(Z31="P",'Ihr Studienplan'!R44,"")</f>
        <v>30</v>
      </c>
      <c r="AC31" s="309" t="str">
        <f>IF(OR(Z31="",Z31="P"),"",Z31*AA31)</f>
        <v/>
      </c>
    </row>
    <row r="32" spans="1:29" x14ac:dyDescent="0.35">
      <c r="A32" s="306"/>
      <c r="B32" s="248"/>
      <c r="C32" s="248"/>
      <c r="D32" s="248"/>
      <c r="E32" s="248"/>
      <c r="F32" s="248"/>
      <c r="G32" s="248"/>
      <c r="H32" s="248"/>
      <c r="I32" s="248"/>
      <c r="J32" s="248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20"/>
    </row>
    <row r="33" spans="1:29" x14ac:dyDescent="0.35">
      <c r="A33" s="306"/>
      <c r="B33" s="248"/>
      <c r="C33" s="248"/>
      <c r="D33" s="248"/>
      <c r="E33" s="248"/>
      <c r="F33" s="248"/>
      <c r="G33" s="248"/>
      <c r="H33" s="248"/>
      <c r="I33" s="248"/>
      <c r="J33" s="248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20"/>
    </row>
    <row r="34" spans="1:29" x14ac:dyDescent="0.35">
      <c r="A34" s="306"/>
      <c r="B34" s="248"/>
      <c r="C34" s="248"/>
      <c r="D34" s="248"/>
      <c r="E34" s="248"/>
      <c r="F34" s="248"/>
      <c r="G34" s="248"/>
      <c r="H34" s="248"/>
      <c r="I34" s="248"/>
      <c r="J34" s="248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20"/>
    </row>
    <row r="35" spans="1:29" x14ac:dyDescent="0.35">
      <c r="A35" s="306"/>
      <c r="B35" s="248"/>
      <c r="C35" s="248"/>
      <c r="D35" s="248"/>
      <c r="E35" s="248"/>
      <c r="F35" s="248"/>
      <c r="G35" s="248"/>
      <c r="H35" s="248"/>
      <c r="I35" s="248"/>
      <c r="J35" s="248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20"/>
    </row>
    <row r="36" spans="1:29" x14ac:dyDescent="0.35">
      <c r="A36" s="306"/>
      <c r="B36" s="248"/>
      <c r="C36" s="248"/>
      <c r="D36" s="248"/>
      <c r="E36" s="248"/>
      <c r="F36" s="248"/>
      <c r="G36" s="248"/>
      <c r="H36" s="248"/>
      <c r="I36" s="248"/>
      <c r="J36" s="248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20"/>
    </row>
    <row r="37" spans="1:29" x14ac:dyDescent="0.35">
      <c r="A37" s="306"/>
      <c r="B37" s="248"/>
      <c r="C37" s="248"/>
      <c r="D37" s="248"/>
      <c r="E37" s="248"/>
      <c r="F37" s="248"/>
      <c r="G37" s="248"/>
      <c r="H37" s="248"/>
      <c r="I37" s="248"/>
      <c r="J37" s="248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</row>
    <row r="38" spans="1:29" x14ac:dyDescent="0.35">
      <c r="A38" s="306"/>
      <c r="B38" s="248"/>
      <c r="C38" s="248"/>
      <c r="D38" s="248"/>
      <c r="E38" s="248"/>
      <c r="F38" s="248"/>
      <c r="G38" s="248"/>
      <c r="H38" s="248"/>
      <c r="I38" s="248"/>
      <c r="J38" s="248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20"/>
    </row>
    <row r="39" spans="1:29" x14ac:dyDescent="0.35">
      <c r="A39" s="306"/>
      <c r="B39" s="286">
        <f>SUM(B4:B38)</f>
        <v>0</v>
      </c>
      <c r="C39" s="286">
        <f>SUM(C4:C38)</f>
        <v>0</v>
      </c>
      <c r="D39" s="282">
        <f>SUM(D4:D38)</f>
        <v>0</v>
      </c>
      <c r="E39" s="319"/>
      <c r="F39" s="319"/>
      <c r="G39" s="319"/>
      <c r="H39" s="286">
        <f>SUM(H4:H38)</f>
        <v>0</v>
      </c>
      <c r="I39" s="286">
        <f>SUM(I4:I38)</f>
        <v>0</v>
      </c>
      <c r="J39" s="282">
        <f>SUM(J4:J38)</f>
        <v>0</v>
      </c>
      <c r="K39" s="282"/>
      <c r="L39" s="282"/>
      <c r="M39" s="282"/>
      <c r="N39" s="286">
        <f>SUM(N4:N38)</f>
        <v>0</v>
      </c>
      <c r="O39" s="286">
        <f>SUM(O4:O38)</f>
        <v>0</v>
      </c>
      <c r="P39" s="282">
        <f>SUM(P4:P38)</f>
        <v>0</v>
      </c>
      <c r="Q39" s="319"/>
      <c r="R39" s="319"/>
      <c r="S39" s="319"/>
      <c r="T39" s="319"/>
      <c r="U39" s="286">
        <f>SUM(U4:U38)</f>
        <v>0</v>
      </c>
      <c r="V39" s="286">
        <f>SUM(V4:V38)</f>
        <v>0</v>
      </c>
      <c r="W39" s="282">
        <f>SUM(W4:W38)</f>
        <v>0</v>
      </c>
      <c r="X39" s="319"/>
      <c r="Y39" s="319"/>
      <c r="Z39" s="319"/>
      <c r="AA39" s="286">
        <f>SUM(AA4:AA38)</f>
        <v>0</v>
      </c>
      <c r="AB39" s="286">
        <f>SUM(AB4:AB38)</f>
        <v>35</v>
      </c>
      <c r="AC39" s="310">
        <f>SUM(AC4:AC38)</f>
        <v>0</v>
      </c>
    </row>
    <row r="40" spans="1:29" ht="21" x14ac:dyDescent="0.5">
      <c r="A40" s="306"/>
      <c r="B40" s="287"/>
      <c r="C40" s="311">
        <f>SUM(B39:C39)</f>
        <v>0</v>
      </c>
      <c r="D40" s="245"/>
      <c r="E40" s="319"/>
      <c r="F40" s="319"/>
      <c r="G40" s="319"/>
      <c r="H40" s="287"/>
      <c r="I40" s="311">
        <f>SUM(H39:I39)</f>
        <v>0</v>
      </c>
      <c r="J40" s="245"/>
      <c r="K40" s="245"/>
      <c r="L40" s="283"/>
      <c r="M40" s="234"/>
      <c r="N40" s="287"/>
      <c r="O40" s="311">
        <f>SUM(N39:O39)</f>
        <v>0</v>
      </c>
      <c r="P40" s="245"/>
      <c r="Q40" s="319"/>
      <c r="R40" s="319"/>
      <c r="S40" s="319"/>
      <c r="T40" s="319"/>
      <c r="U40" s="287"/>
      <c r="V40" s="311">
        <f>SUM(U39:V39)</f>
        <v>0</v>
      </c>
      <c r="W40" s="245"/>
      <c r="X40" s="319"/>
      <c r="Y40" s="319"/>
      <c r="Z40" s="319"/>
      <c r="AA40" s="287"/>
      <c r="AB40" s="311">
        <f>SUM(AA39:AB39)</f>
        <v>35</v>
      </c>
      <c r="AC40" s="312"/>
    </row>
    <row r="41" spans="1:29" x14ac:dyDescent="0.35">
      <c r="A41" s="306"/>
      <c r="B41" s="234"/>
      <c r="C41" s="248"/>
      <c r="D41" s="234"/>
      <c r="E41" s="234"/>
      <c r="F41" s="234"/>
      <c r="G41" s="234"/>
      <c r="H41" s="248"/>
      <c r="I41" s="248"/>
      <c r="J41" s="248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</row>
    <row r="42" spans="1:29" x14ac:dyDescent="0.35">
      <c r="A42" s="306"/>
      <c r="B42" s="234"/>
      <c r="C42" s="248"/>
      <c r="D42" s="234"/>
      <c r="E42" s="234"/>
      <c r="F42" s="234"/>
      <c r="G42" s="234"/>
      <c r="H42" s="248"/>
      <c r="I42" s="313" t="s">
        <v>232</v>
      </c>
      <c r="J42" s="248">
        <f>SUM(B40:AC40)</f>
        <v>35</v>
      </c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20"/>
    </row>
    <row r="43" spans="1:29" x14ac:dyDescent="0.35">
      <c r="A43" s="306"/>
      <c r="B43" s="234"/>
      <c r="C43" s="248"/>
      <c r="D43" s="234"/>
      <c r="E43" s="234"/>
      <c r="F43" s="234"/>
      <c r="G43" s="234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20"/>
    </row>
    <row r="44" spans="1:29" x14ac:dyDescent="0.35">
      <c r="A44" s="306"/>
      <c r="B44" s="248"/>
      <c r="C44" s="248"/>
      <c r="D44" s="248"/>
      <c r="E44" s="248"/>
      <c r="F44" s="248"/>
      <c r="G44" s="248"/>
      <c r="H44" s="247"/>
      <c r="I44" s="284" t="s">
        <v>234</v>
      </c>
      <c r="J44" s="234">
        <f>B39+H39+N39+U39+AA39</f>
        <v>0</v>
      </c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20"/>
    </row>
    <row r="45" spans="1:29" x14ac:dyDescent="0.35">
      <c r="A45" s="306"/>
      <c r="B45" s="248"/>
      <c r="C45" s="248"/>
      <c r="D45" s="248"/>
      <c r="E45" s="248"/>
      <c r="F45" s="248"/>
      <c r="G45" s="248"/>
      <c r="H45" s="245"/>
      <c r="I45" s="284" t="s">
        <v>218</v>
      </c>
      <c r="J45" s="234">
        <f>D39+J39+P39+W39+AC39</f>
        <v>0</v>
      </c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20"/>
    </row>
    <row r="46" spans="1:29" ht="15" thickBot="1" x14ac:dyDescent="0.4">
      <c r="A46" s="322"/>
      <c r="B46" s="323"/>
      <c r="C46" s="323"/>
      <c r="D46" s="323"/>
      <c r="E46" s="323"/>
      <c r="F46" s="323"/>
      <c r="G46" s="323"/>
      <c r="H46" s="314"/>
      <c r="I46" s="315" t="s">
        <v>219</v>
      </c>
      <c r="J46" s="316" t="str">
        <f>IFERROR(J45/J44,"")</f>
        <v/>
      </c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24"/>
    </row>
  </sheetData>
  <sheetProtection algorithmName="SHA-512" hashValue="rYH/pXf6puu27jJegiRGBj7qq4uRfkJgX7l8ewuYeS3j5GGSD/pK/bMKOd8NiMoMPPeTzb3IfRJEDoEUDSodxw==" saltValue="KDoZCWbxe8uweHiTFKXiR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Ihr Studienplan</vt:lpstr>
      <vt:lpstr>Tabelle2</vt:lpstr>
      <vt:lpstr>Tabelle1</vt:lpstr>
      <vt:lpstr>HandsOff_Basisdata</vt:lpstr>
      <vt:lpstr>HandsOff_Notenschnitt</vt:lpstr>
      <vt:lpstr>'Ihr Studienplan'!Druckbereich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MGS</dc:creator>
  <cp:lastModifiedBy>MGS</cp:lastModifiedBy>
  <cp:lastPrinted>2021-09-14T13:56:51Z</cp:lastPrinted>
  <dcterms:created xsi:type="dcterms:W3CDTF">2021-08-18T13:24:09Z</dcterms:created>
  <dcterms:modified xsi:type="dcterms:W3CDTF">2022-12-06T13:07:04Z</dcterms:modified>
</cp:coreProperties>
</file>